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070" activeTab="0"/>
  </bookViews>
  <sheets>
    <sheet name="Rev1.1" sheetId="1" r:id="rId1"/>
  </sheets>
  <definedNames>
    <definedName name="ACT_FIELD_RATE">'Rev1.1'!$Q$43</definedName>
    <definedName name="ACT_FRAME_RATE">'Rev1.1'!$Q$44</definedName>
    <definedName name="ACT_H_FREQ">'Rev1.1'!$Q$41</definedName>
    <definedName name="ACT_PIXEL_FREQ">'Rev1.1'!$Q$46</definedName>
    <definedName name="ACT_VBI_LINES">'Rev1.1'!$Y$21</definedName>
    <definedName name="ASPECT_RATIO">'Rev1.1'!$F$36</definedName>
    <definedName name="BOT_MARGIN">'Rev1.1'!$Q$30</definedName>
    <definedName name="C_PRIME">'Rev1.1'!$K$116</definedName>
    <definedName name="CELL_GRAN">'Rev1.1'!$K$87</definedName>
    <definedName name="CELL_GRAN_RND">'Rev1.1'!$Q$8</definedName>
    <definedName name="CLOCK_STEP">'Rev1.1'!$K$128</definedName>
    <definedName name="GTF_C_VAR">'Rev1.1'!$K$111</definedName>
    <definedName name="GTF_J_VAR">'Rev1.1'!$K$113</definedName>
    <definedName name="GTF_K_VAR">'Rev1.1'!$K$112</definedName>
    <definedName name="GTF_M_VAR">'Rev1.1'!$K$110</definedName>
    <definedName name="H_BACK_PORCH">'Rev1.1'!$Q$57</definedName>
    <definedName name="H_BLANK">'Rev1.1'!$Q$51</definedName>
    <definedName name="H_FRONT_PORCH">'Rev1.1'!$Q$53</definedName>
    <definedName name="H_PERIOD">'Rev1.1'!#REF!</definedName>
    <definedName name="H_PERIOD_EST">'Rev1.1'!$Q$38</definedName>
    <definedName name="H_PIXELS">'Rev1.1'!$K$8</definedName>
    <definedName name="H_PIXELS_RND">'Rev1.1'!$Q$16</definedName>
    <definedName name="H_SYNC_PER">'Rev1.1'!$U$9</definedName>
    <definedName name="H_SYNC_RND">'Rev1.1'!$Q$55</definedName>
    <definedName name="IDEAL_DUTY_CYCLE">'Rev1.1'!$U$27</definedName>
    <definedName name="INT_RQD?">'Rev1.1'!$K$11</definedName>
    <definedName name="INTERLACE">'Rev1.1'!$Q$33</definedName>
    <definedName name="IP_FREQ_RQD">'Rev1.1'!$K$12</definedName>
    <definedName name="LEFT_MARGIN">'Rev1.1'!$Q$19</definedName>
    <definedName name="M_PRIME">'Rev1.1'!$K$115</definedName>
    <definedName name="MARGIN_PER">'Rev1.1'!$Q$9</definedName>
    <definedName name="MARGINS_RQD?">'Rev1.1'!$K$10</definedName>
    <definedName name="MIN_V_BPORCH">'Rev1.1'!$K$102</definedName>
    <definedName name="MIN_V_PORCH">'Rev1.1'!$K$103</definedName>
    <definedName name="MIN_V_PORCH_RND">'Rev1.1'!$Q$10</definedName>
    <definedName name="MIN_VSYNC_BP">'Rev1.1'!$U$8</definedName>
    <definedName name="PIXEL_FREQ">'Rev1.1'!#REF!</definedName>
    <definedName name="_xlnm.Print_Area" localSheetId="0">'Rev1.1'!$A$23:$M$73</definedName>
    <definedName name="_xlnm.Print_Titles" localSheetId="0">'Rev1.1'!$1:$6</definedName>
    <definedName name="RB_H_BLANK">'Rev1.1'!$Y$10</definedName>
    <definedName name="RB_H_SYNC">'Rev1.1'!$Y$9</definedName>
    <definedName name="RB_MIN_V_BLANK">'Rev1.1'!$Y$8</definedName>
    <definedName name="RB_MIN_V_BPORCH">'Rev1.1'!$K$125</definedName>
    <definedName name="RB_MIN_VBI">'Rev1.1'!$Y$20</definedName>
    <definedName name="RB_V_FPORCH">'Rev1.1'!$K$124</definedName>
    <definedName name="RB_V_SYNC">'Rev1.1'!#REF!</definedName>
    <definedName name="RED_BLANK_RQD?">'Rev1.1'!$K$13</definedName>
    <definedName name="RIGHT_MARGIN">'Rev1.1'!$Q$20</definedName>
    <definedName name="TOP_MARGIN">'Rev1.1'!$Q$29</definedName>
    <definedName name="TOTAL_ACTIVE_PIXELS">'Rev1.1'!$Q$23</definedName>
    <definedName name="TOTAL_PIXELS">'Rev1.1'!$Q$49</definedName>
    <definedName name="TOTAL_V_LINES">'Rev1.1'!$Q$60</definedName>
    <definedName name="V_BACK_PORCH">'Rev1.1'!$Q$68</definedName>
    <definedName name="V_BLANK">'Rev1.1'!$Q$62</definedName>
    <definedName name="V_FIELD_RATE">'Rev1.1'!#REF!</definedName>
    <definedName name="V_FIELD_RATE_EST">'Rev1.1'!#REF!</definedName>
    <definedName name="V_FIELD_RATE_RQD">'Rev1.1'!$Q$13</definedName>
    <definedName name="V_FRAME_RATE">'Rev1.1'!#REF!</definedName>
    <definedName name="V_FRONT_PORCH">'Rev1.1'!$Q$64</definedName>
    <definedName name="V_LINES">'Rev1.1'!$K$9</definedName>
    <definedName name="V_LINES_RND">'Rev1.1'!$Q$26</definedName>
    <definedName name="V_SYNC">'Rev1.1'!$K$93</definedName>
    <definedName name="V_SYNC_BP">'Rev1.1'!$U$18</definedName>
    <definedName name="V_SYNC_RND">'Rev1.1'!$Q$66</definedName>
    <definedName name="VBI_LINES">'Rev1.1'!$Y$16</definedName>
    <definedName name="VSYNC_WIDTH_TABLE">'Rev1.1'!$D$135:$E$142</definedName>
  </definedNames>
  <calcPr fullCalcOnLoad="1"/>
</workbook>
</file>

<file path=xl/sharedStrings.xml><?xml version="1.0" encoding="utf-8"?>
<sst xmlns="http://schemas.openxmlformats.org/spreadsheetml/2006/main" count="285" uniqueCount="212">
  <si>
    <t>MCTRL4K超长分辨率设置生产器(Rev 1.1)</t>
  </si>
  <si>
    <t>修改黄色单元格中的参数获得结果</t>
  </si>
  <si>
    <t>水平分辨率</t>
  </si>
  <si>
    <t>计时参数</t>
  </si>
  <si>
    <t>活动像素
（Active）</t>
  </si>
  <si>
    <t>前沿(像素)
（Front Porch）</t>
  </si>
  <si>
    <t>同步宽度(像素)
（Sync Pluse）</t>
  </si>
  <si>
    <t>总像素(像素)
（Total）</t>
  </si>
  <si>
    <t>极性
（Polarity）</t>
  </si>
  <si>
    <t>配置检查：</t>
  </si>
  <si>
    <t>垂直分辨率</t>
  </si>
  <si>
    <t>水平</t>
  </si>
  <si>
    <t>刷新率</t>
  </si>
  <si>
    <t>垂直</t>
  </si>
  <si>
    <t>CONSTANTS:</t>
  </si>
  <si>
    <t>STANDARD CRT TIMING SCRATCH PAD:</t>
  </si>
  <si>
    <t>REDUCED BLANKING SCRATCH PAD:</t>
  </si>
  <si>
    <t>CHECKS:</t>
  </si>
  <si>
    <t>1) Enter Desired Horizontal Pixels Here =&gt;</t>
  </si>
  <si>
    <t>CELL_GRAN_RND (Pixels) =</t>
  </si>
  <si>
    <t xml:space="preserve">MIN_VSYNC_BP (uS) = </t>
  </si>
  <si>
    <t>RB_MIN_V_BLANK (us) =</t>
  </si>
  <si>
    <t>2) Enter Desired Vertical Pixels Here =&gt;</t>
  </si>
  <si>
    <t>MARGIN_PER (%) =</t>
  </si>
  <si>
    <t>H_SYNC_PER (%) =</t>
  </si>
  <si>
    <t>RB_H_SYNC (Pixels) =</t>
  </si>
  <si>
    <t>3) Enter If You Want Margins Here (Y or N) =&gt;</t>
  </si>
  <si>
    <t>n</t>
  </si>
  <si>
    <t xml:space="preserve">MIN_V_PORCH_RND (Lines) = </t>
  </si>
  <si>
    <t>RB_H_BLANK (Pixels) =</t>
  </si>
  <si>
    <t>4) Enter If You Want Interlace Here (Y or N) =&gt;</t>
  </si>
  <si>
    <t xml:space="preserve"> </t>
  </si>
  <si>
    <t>COMMON TIMING PARAMETERS:</t>
  </si>
  <si>
    <t>SPEC STEP #:</t>
  </si>
  <si>
    <t>5) Enter Vertical Scan Frame Rate Here =&gt;</t>
  </si>
  <si>
    <t>Hz</t>
  </si>
  <si>
    <t>REQUIRED FIELD RATE</t>
  </si>
  <si>
    <t>ESTIMATE HORIZ. PERIOD (us):</t>
  </si>
  <si>
    <t>6) Enter If You Want Reduced Blanking Here (Y or N) =&gt;</t>
  </si>
  <si>
    <t>y</t>
  </si>
  <si>
    <t xml:space="preserve">V_FIELD_RATE (Hz) = </t>
  </si>
  <si>
    <t>Estimated H period =</t>
  </si>
  <si>
    <t>STATUS:</t>
  </si>
  <si>
    <t>HORIZONTAL PIXELS</t>
  </si>
  <si>
    <t>FIND NUMBER OF LINES IN (SYNC + BACK PORCH):</t>
  </si>
  <si>
    <t>FIND NUMBER OF LINES IN VERTICAL BLANKING:</t>
  </si>
  <si>
    <t>ERROR/WARNING MESSAGE</t>
  </si>
  <si>
    <t xml:space="preserve">H_PIXELS_RND = </t>
  </si>
  <si>
    <t>Estimated V_SYNC_BP</t>
  </si>
  <si>
    <t xml:space="preserve">VBI_LINES = </t>
  </si>
  <si>
    <t>(Actual value =)</t>
  </si>
  <si>
    <t>(Actual value)</t>
  </si>
  <si>
    <t>DETERMINE LEFT &amp; RIGHT BORDERS</t>
  </si>
  <si>
    <t>V_SYNC_BP</t>
  </si>
  <si>
    <t xml:space="preserve">LEFT_MARGIN = </t>
  </si>
  <si>
    <t>CHECK VERTICAL BLANKING IS SUFFICENT</t>
  </si>
  <si>
    <t xml:space="preserve">RIGHT_MARGIN = </t>
  </si>
  <si>
    <t>FIND NUMBER OF LINES IN BACK PORCH (Lines):</t>
  </si>
  <si>
    <t>Minimum VBI Lines=</t>
  </si>
  <si>
    <t>Back porch =</t>
  </si>
  <si>
    <t>ACT_VBI_LINES =</t>
  </si>
  <si>
    <t>FIND TOTAL ACTIVE PIXELS</t>
  </si>
  <si>
    <t xml:space="preserve">TOTAL_ACTIVE_PIXELS = </t>
  </si>
  <si>
    <t>FIND TOTAL NUMBER OF LINES IN VERTICAL FIELD:</t>
  </si>
  <si>
    <t xml:space="preserve">Total lines = </t>
  </si>
  <si>
    <t>FIND NUMBER OF LINES PER FIELD</t>
  </si>
  <si>
    <t xml:space="preserve">V_LINES_RND = </t>
  </si>
  <si>
    <t>FIND IDEAL BLANKING DUTY CYCLE FROM FORMULA (%):</t>
  </si>
  <si>
    <t>FIND TOTAL NUMBER OF PIXELS IN A LINE (Pixels):</t>
  </si>
  <si>
    <t>IDEAL_DUTY_CYCLE</t>
  </si>
  <si>
    <t>Total number of pixels=</t>
  </si>
  <si>
    <t>FIND TOP &amp; BOTTOM MARGINS</t>
  </si>
  <si>
    <t>HOR PIXELS</t>
  </si>
  <si>
    <t>PIXELS</t>
  </si>
  <si>
    <t xml:space="preserve">TOP_MARGIN = </t>
  </si>
  <si>
    <t>FIND BLANKING TIME TO NEAREST CHAR CELL (Pixels):</t>
  </si>
  <si>
    <t>FIND PIXEL CLOCK FREQUENCY (MHz):</t>
  </si>
  <si>
    <t>VER PIXELS</t>
  </si>
  <si>
    <t>LINES</t>
  </si>
  <si>
    <t xml:space="preserve">BOT_MARGIN = </t>
  </si>
  <si>
    <t>Blanking time =</t>
  </si>
  <si>
    <t>HOR FREQUENCY</t>
  </si>
  <si>
    <t>kHz</t>
  </si>
  <si>
    <t>Non-rounded value =</t>
  </si>
  <si>
    <t>ACTUAL VER FREQUENCY</t>
  </si>
  <si>
    <t>INTERLACE</t>
  </si>
  <si>
    <t>PIXEL CLOCK</t>
  </si>
  <si>
    <t>MHz</t>
  </si>
  <si>
    <t xml:space="preserve">INTERLACE = </t>
  </si>
  <si>
    <t>FIND ACTUAL HORIZONTAL FREQUENCY (kHz):</t>
  </si>
  <si>
    <t xml:space="preserve">CHARACTER WIDTH </t>
  </si>
  <si>
    <t>ns</t>
  </si>
  <si>
    <t xml:space="preserve">Horiz. freq = </t>
  </si>
  <si>
    <t>SCAN TYPE</t>
  </si>
  <si>
    <t>RESULTS:</t>
  </si>
  <si>
    <t>ASPECT RATIO</t>
  </si>
  <si>
    <t>FIND ACTUAL FIELD RATE (Hz):</t>
  </si>
  <si>
    <t>HSYNC POLARITY</t>
  </si>
  <si>
    <t>Estimated Horizontal Frequency (kHz):</t>
  </si>
  <si>
    <t>Actual vertical field rate =</t>
  </si>
  <si>
    <t>VSYNC POLARITY</t>
  </si>
  <si>
    <t xml:space="preserve">H_PERIOD_EST = </t>
  </si>
  <si>
    <t>FIND ACTUAL VERTICAL  FRAME FREQUENCY (Hz):</t>
  </si>
  <si>
    <t>Actual Horizontal Frequency (kHz):</t>
  </si>
  <si>
    <t>Actual vertical frame rate =</t>
  </si>
  <si>
    <t>HOR TOTAL</t>
  </si>
  <si>
    <t>us</t>
  </si>
  <si>
    <t>CHARS</t>
  </si>
  <si>
    <t xml:space="preserve">ACT_H_FREQ = </t>
  </si>
  <si>
    <t>HOR ADDR</t>
  </si>
  <si>
    <t>Actual Vertical Frequency (Hz):</t>
  </si>
  <si>
    <t>ACT_FIELD_RATE =</t>
  </si>
  <si>
    <t xml:space="preserve">ACT_FRAME_RATE = </t>
  </si>
  <si>
    <t>HOR BLANK</t>
  </si>
  <si>
    <t>Actual Pixel Clock (MHz):</t>
  </si>
  <si>
    <t>HOR BLANK+MARGIN</t>
  </si>
  <si>
    <t xml:space="preserve">ACT_PIXEL_FREQ = </t>
  </si>
  <si>
    <t>PREDICTED H BLANK DUTY CYCLE</t>
  </si>
  <si>
    <t>%</t>
  </si>
  <si>
    <t>(from GTF blanking formula)</t>
  </si>
  <si>
    <t>Horizontal Total (Pixels):</t>
  </si>
  <si>
    <t>ACTUAL HOR BLANK DUTY CYCLE</t>
  </si>
  <si>
    <t xml:space="preserve">TOTAL_PIXELS = </t>
  </si>
  <si>
    <t>ACT. HOR BLNK+MARGIN DUTY CYCLE</t>
  </si>
  <si>
    <t>Horizontal Blanking (Pixels):</t>
  </si>
  <si>
    <t xml:space="preserve">H LEFT MARGIN </t>
  </si>
  <si>
    <t xml:space="preserve">H_BLANK = </t>
  </si>
  <si>
    <t xml:space="preserve">H FRONT PORCH </t>
  </si>
  <si>
    <t>Hor Front Porch:</t>
  </si>
  <si>
    <t>HOR SYNC</t>
  </si>
  <si>
    <t xml:space="preserve">H_FRONT_PORCH = </t>
  </si>
  <si>
    <t>H BACK PORCH</t>
  </si>
  <si>
    <t>Hor Sync:</t>
  </si>
  <si>
    <t>H RIGHT MARGIN</t>
  </si>
  <si>
    <t xml:space="preserve">H_SYNC_RND = </t>
  </si>
  <si>
    <t>Hor Back Porch:</t>
  </si>
  <si>
    <t xml:space="preserve">H_BACK_PORCH = </t>
  </si>
  <si>
    <t>VER TOTAL</t>
  </si>
  <si>
    <t>ms</t>
  </si>
  <si>
    <t>VER ADDR</t>
  </si>
  <si>
    <t>Vertical Total (lines):</t>
  </si>
  <si>
    <t xml:space="preserve">TOTAL_V_LINES = </t>
  </si>
  <si>
    <t>Vertical Blanking (lines):</t>
  </si>
  <si>
    <t>VER BLANK</t>
  </si>
  <si>
    <t xml:space="preserve">V_BLANK = </t>
  </si>
  <si>
    <t>V TOP MARGIN</t>
  </si>
  <si>
    <t>Ver Front Porch:</t>
  </si>
  <si>
    <t>V FRONT PORCH</t>
  </si>
  <si>
    <t xml:space="preserve">V_FRONT_PORCH = </t>
  </si>
  <si>
    <t>VER SYNC</t>
  </si>
  <si>
    <t>Ver Sync:</t>
  </si>
  <si>
    <t>V BACK PORCH</t>
  </si>
  <si>
    <t xml:space="preserve">V_SYNC_RND = </t>
  </si>
  <si>
    <t>V BOTTOM MARGIN</t>
  </si>
  <si>
    <t>Ver Back Porch:</t>
  </si>
  <si>
    <t xml:space="preserve">V_BACK_PROCH = </t>
  </si>
  <si>
    <t>DEFAULT PARAMETER VALUES</t>
  </si>
  <si>
    <t>STANDARD TIMING:</t>
  </si>
  <si>
    <t>1) These are the default values that define the MARGIN size:</t>
  </si>
  <si>
    <t>Note:</t>
  </si>
  <si>
    <t xml:space="preserve"> Only ratio of MARGIN to image is important. Top and Bottom MARGINs are equal</t>
  </si>
  <si>
    <t xml:space="preserve">Side MARGINs are proportional to the ratio of image H/V pixels </t>
  </si>
  <si>
    <t>GIVE:</t>
  </si>
  <si>
    <t>Top/ bottom MARGIN size as % of height  (%)  {DEFAULT = 1.8}</t>
  </si>
  <si>
    <t>2) This default value defines the horizontal timing boundaries:</t>
  </si>
  <si>
    <t>Character cell horizontal granularity (pixels)  {DEFAULT = 8}</t>
  </si>
  <si>
    <t>3) These default values define analog system sync pulse width limitations:</t>
  </si>
  <si>
    <t>Vertical sync width (in lines) will be rounded down to nearest integer</t>
  </si>
  <si>
    <t>Horizontal sync width will be rounded to nearest char cell boundary</t>
  </si>
  <si>
    <t>Number of lines for vertical sync (lines)  {Derived from table}</t>
  </si>
  <si>
    <t>Nominal H sync width (% of line period)  {DEFAULT = 8}</t>
  </si>
  <si>
    <t>4) These default values define analog scan system vertical blanking time limitations:</t>
  </si>
  <si>
    <t xml:space="preserve">Vertical blanking time will rounded to nearest integer number of lines </t>
  </si>
  <si>
    <t>Minimum time of vertical sync+back porch interval (us)</t>
  </si>
  <si>
    <t>{DEFAULT = 550}</t>
  </si>
  <si>
    <t>Minimum number of vertical back porch lines {DEFAULT = 6}</t>
  </si>
  <si>
    <t>Minimum vertical porch (no of lines) {DEFAULT = 3}</t>
  </si>
  <si>
    <t>5) Definition of Horizontal blanking time limitation:</t>
  </si>
  <si>
    <t>Generalized blanking limitation formula used of the form:</t>
  </si>
  <si>
    <t xml:space="preserve">&lt;H BLANKING TIME (%)&gt; =C - ( M / Fh)  </t>
  </si>
  <si>
    <t>Where:</t>
  </si>
  <si>
    <t>M (gradient) (%/kHz)  {DEFAULT = 600}</t>
  </si>
  <si>
    <t>C (offset) (%)  {DEFAULT = 40}</t>
  </si>
  <si>
    <t>K (blanking time scaling factor)  {DEFAULT = 128}</t>
  </si>
  <si>
    <t>J (scaling factor weighting)  {DEFAULT = 20}</t>
  </si>
  <si>
    <t>M' = K / 256 * M</t>
  </si>
  <si>
    <t>C' = ( ( C - J ) * K / 256 ) + J</t>
  </si>
  <si>
    <t>REDUCED BLANKING TIMING:</t>
  </si>
  <si>
    <t>Fixed number of clocks for horizontal blanking  {DEFAULT = 160}</t>
  </si>
  <si>
    <t>Fixed number of clocks for horizontal sync  {DEFAULT = 32}</t>
  </si>
  <si>
    <t>Minimum vertical blanking interval time (us)  {DEFAULT = 460}</t>
  </si>
  <si>
    <t>Fixed number of lines for vertical front porch  {DEFAULT = 3}</t>
  </si>
  <si>
    <t>Minimum number of vertical back porch lines  {DEFAULT = 6}</t>
  </si>
  <si>
    <t>PIXEL CLOCK STEP (MHz):</t>
  </si>
  <si>
    <t>ASPECT RATIO VARIABLES:</t>
  </si>
  <si>
    <t>VSYNC WIDTH</t>
  </si>
  <si>
    <t>HSYNC / VSYNC POLARITY</t>
  </si>
  <si>
    <t>Lines</t>
  </si>
  <si>
    <t>4:3</t>
  </si>
  <si>
    <t>Hsync</t>
  </si>
  <si>
    <t>Vsync</t>
  </si>
  <si>
    <t>Description</t>
  </si>
  <si>
    <t>16:9</t>
  </si>
  <si>
    <t>NEGATIVE</t>
  </si>
  <si>
    <t>POSITIVE</t>
  </si>
  <si>
    <t>Standard CRT Based Timing (CVT-GTF)</t>
  </si>
  <si>
    <t>16:10</t>
  </si>
  <si>
    <t>Reduced Blanking (CVT-RB)</t>
  </si>
  <si>
    <t>5:4</t>
  </si>
  <si>
    <t>15:9</t>
  </si>
  <si>
    <t>Reserved</t>
  </si>
  <si>
    <t>Custom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</si>
</sst>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_);[Red]\(#,##0.000\)"/>
    <numFmt numFmtId="181" formatCode="0.000"/>
    <numFmt numFmtId="182" formatCode="#,##0.0_);[Red]\(#,##0.0\)"/>
    <numFmt numFmtId="183" formatCode="0.0"/>
  </numFmts>
  <fonts count="48">
    <font>
      <sz val="10"/>
      <name val="Arial"/>
      <family val="2"/>
    </font>
    <font>
      <sz val="10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b/>
      <u val="single"/>
      <sz val="12"/>
      <name val="微软雅黑"/>
      <family val="2"/>
    </font>
    <font>
      <b/>
      <sz val="12"/>
      <color indexed="10"/>
      <name val="微软雅黑"/>
      <family val="2"/>
    </font>
    <font>
      <b/>
      <u val="single"/>
      <sz val="12"/>
      <color indexed="10"/>
      <name val="微软雅黑"/>
      <family val="2"/>
    </font>
    <font>
      <u val="single"/>
      <sz val="12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 indent="2"/>
      <protection/>
    </xf>
    <xf numFmtId="0" fontId="2" fillId="0" borderId="0" xfId="0" applyFont="1" applyBorder="1" applyAlignment="1" applyProtection="1">
      <alignment horizontal="left" vertical="center" indent="2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180" fontId="3" fillId="0" borderId="20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3" fontId="2" fillId="0" borderId="2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180" fontId="3" fillId="0" borderId="17" xfId="0" applyNumberFormat="1" applyFont="1" applyBorder="1" applyAlignment="1" applyProtection="1">
      <alignment horizontal="center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3" fontId="3" fillId="0" borderId="17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3" fontId="3" fillId="0" borderId="2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centerContinuous" vertical="center"/>
      <protection/>
    </xf>
    <xf numFmtId="1" fontId="3" fillId="0" borderId="0" xfId="0" applyNumberFormat="1" applyFont="1" applyBorder="1" applyAlignment="1" applyProtection="1">
      <alignment horizontal="centerContinuous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20" xfId="0" applyNumberFormat="1" applyFont="1" applyBorder="1" applyAlignment="1" applyProtection="1">
      <alignment vertical="center"/>
      <protection/>
    </xf>
    <xf numFmtId="180" fontId="2" fillId="0" borderId="17" xfId="0" applyNumberFormat="1" applyFont="1" applyBorder="1" applyAlignment="1" applyProtection="1">
      <alignment horizontal="centerContinuous" vertical="center"/>
      <protection/>
    </xf>
    <xf numFmtId="1" fontId="3" fillId="0" borderId="17" xfId="0" applyNumberFormat="1" applyFont="1" applyBorder="1" applyAlignment="1" applyProtection="1">
      <alignment horizontal="centerContinuous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" fontId="4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1" fontId="2" fillId="0" borderId="31" xfId="0" applyNumberFormat="1" applyFont="1" applyBorder="1" applyAlignment="1" applyProtection="1">
      <alignment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  <xf numFmtId="1" fontId="2" fillId="0" borderId="3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180" fontId="2" fillId="0" borderId="22" xfId="0" applyNumberFormat="1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2" fillId="0" borderId="33" xfId="0" applyNumberFormat="1" applyFont="1" applyBorder="1" applyAlignment="1" applyProtection="1">
      <alignment horizontal="left" vertical="center"/>
      <protection/>
    </xf>
    <xf numFmtId="1" fontId="2" fillId="0" borderId="38" xfId="0" applyNumberFormat="1" applyFont="1" applyBorder="1" applyAlignment="1" applyProtection="1">
      <alignment vertical="center"/>
      <protection/>
    </xf>
    <xf numFmtId="180" fontId="2" fillId="0" borderId="38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1" fontId="4" fillId="0" borderId="27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 vertical="center"/>
      <protection/>
    </xf>
    <xf numFmtId="1" fontId="2" fillId="0" borderId="31" xfId="0" applyNumberFormat="1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1" fontId="3" fillId="0" borderId="0" xfId="0" applyNumberFormat="1" applyFont="1" applyBorder="1" applyAlignment="1" applyProtection="1">
      <alignment vertical="center"/>
      <protection/>
    </xf>
    <xf numFmtId="180" fontId="2" fillId="0" borderId="20" xfId="0" applyNumberFormat="1" applyFont="1" applyBorder="1" applyAlignment="1" applyProtection="1">
      <alignment vertical="center"/>
      <protection/>
    </xf>
    <xf numFmtId="1" fontId="3" fillId="0" borderId="20" xfId="0" applyNumberFormat="1" applyFont="1" applyBorder="1" applyAlignment="1" applyProtection="1">
      <alignment vertical="center"/>
      <protection/>
    </xf>
    <xf numFmtId="3" fontId="3" fillId="0" borderId="17" xfId="0" applyNumberFormat="1" applyFont="1" applyBorder="1" applyAlignment="1" applyProtection="1">
      <alignment vertical="center"/>
      <protection/>
    </xf>
    <xf numFmtId="180" fontId="2" fillId="0" borderId="17" xfId="0" applyNumberFormat="1" applyFont="1" applyBorder="1" applyAlignment="1" applyProtection="1">
      <alignment vertical="center"/>
      <protection/>
    </xf>
    <xf numFmtId="1" fontId="3" fillId="0" borderId="17" xfId="0" applyNumberFormat="1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3" fontId="3" fillId="0" borderId="2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2" fillId="0" borderId="29" xfId="0" applyFont="1" applyBorder="1" applyAlignment="1" applyProtection="1">
      <alignment horizontal="centerContinuous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182" fontId="3" fillId="0" borderId="20" xfId="0" applyNumberFormat="1" applyFont="1" applyBorder="1" applyAlignment="1" applyProtection="1">
      <alignment horizontal="right" vertical="center"/>
      <protection/>
    </xf>
    <xf numFmtId="182" fontId="2" fillId="0" borderId="20" xfId="0" applyNumberFormat="1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82" fontId="3" fillId="0" borderId="17" xfId="0" applyNumberFormat="1" applyFont="1" applyBorder="1" applyAlignment="1" applyProtection="1">
      <alignment horizontal="centerContinuous" vertical="center"/>
      <protection/>
    </xf>
    <xf numFmtId="182" fontId="2" fillId="0" borderId="17" xfId="0" applyNumberFormat="1" applyFont="1" applyBorder="1" applyAlignment="1" applyProtection="1">
      <alignment horizontal="centerContinuous" vertical="center"/>
      <protection/>
    </xf>
    <xf numFmtId="0" fontId="2" fillId="0" borderId="40" xfId="0" applyFont="1" applyBorder="1" applyAlignment="1" applyProtection="1">
      <alignment horizontal="centerContinuous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180" fontId="2" fillId="0" borderId="42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1" fontId="4" fillId="0" borderId="31" xfId="0" applyNumberFormat="1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3" fontId="2" fillId="0" borderId="42" xfId="0" applyNumberFormat="1" applyFont="1" applyBorder="1" applyAlignment="1" applyProtection="1">
      <alignment horizontal="center" vertical="center"/>
      <protection/>
    </xf>
    <xf numFmtId="2" fontId="2" fillId="0" borderId="4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83" fontId="2" fillId="0" borderId="43" xfId="0" applyNumberFormat="1" applyFont="1" applyBorder="1" applyAlignment="1" applyProtection="1">
      <alignment horizontal="center" vertical="center"/>
      <protection/>
    </xf>
    <xf numFmtId="183" fontId="2" fillId="0" borderId="38" xfId="0" applyNumberFormat="1" applyFont="1" applyBorder="1" applyAlignment="1" applyProtection="1">
      <alignment horizontal="center" vertical="center"/>
      <protection/>
    </xf>
    <xf numFmtId="1" fontId="2" fillId="0" borderId="31" xfId="0" applyNumberFormat="1" applyFont="1" applyBorder="1" applyAlignment="1" applyProtection="1">
      <alignment horizontal="right" vertical="center"/>
      <protection/>
    </xf>
    <xf numFmtId="181" fontId="2" fillId="0" borderId="42" xfId="0" applyNumberFormat="1" applyFont="1" applyBorder="1" applyAlignment="1" applyProtection="1">
      <alignment horizontal="center" vertical="center"/>
      <protection/>
    </xf>
    <xf numFmtId="1" fontId="2" fillId="0" borderId="42" xfId="0" applyNumberFormat="1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183" fontId="2" fillId="0" borderId="42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4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22" xfId="0" applyFont="1" applyBorder="1" applyAlignment="1" applyProtection="1">
      <alignment horizontal="center" vertical="center"/>
      <protection/>
    </xf>
    <xf numFmtId="180" fontId="3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1" fontId="3" fillId="0" borderId="3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38" fontId="3" fillId="0" borderId="30" xfId="0" applyNumberFormat="1" applyFont="1" applyBorder="1" applyAlignment="1" applyProtection="1">
      <alignment horizontal="center" vertical="center"/>
      <protection/>
    </xf>
    <xf numFmtId="3" fontId="3" fillId="0" borderId="30" xfId="0" applyNumberFormat="1" applyFont="1" applyBorder="1" applyAlignment="1" applyProtection="1">
      <alignment horizontal="center" vertical="center"/>
      <protection/>
    </xf>
    <xf numFmtId="38" fontId="3" fillId="0" borderId="44" xfId="0" applyNumberFormat="1" applyFont="1" applyBorder="1" applyAlignment="1" applyProtection="1">
      <alignment horizontal="center" vertical="center"/>
      <protection/>
    </xf>
    <xf numFmtId="38" fontId="3" fillId="0" borderId="13" xfId="0" applyNumberFormat="1" applyFont="1" applyBorder="1" applyAlignment="1" applyProtection="1">
      <alignment horizontal="center" vertical="center"/>
      <protection/>
    </xf>
    <xf numFmtId="38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20" fontId="2" fillId="0" borderId="46" xfId="0" applyNumberFormat="1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20" fontId="2" fillId="0" borderId="50" xfId="0" applyNumberFormat="1" applyFont="1" applyBorder="1" applyAlignment="1" applyProtection="1">
      <alignment vertical="center"/>
      <protection/>
    </xf>
    <xf numFmtId="20" fontId="2" fillId="0" borderId="56" xfId="0" applyNumberFormat="1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20" fontId="2" fillId="0" borderId="22" xfId="0" applyNumberFormat="1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20" fontId="2" fillId="0" borderId="46" xfId="0" applyNumberFormat="1" applyFont="1" applyBorder="1" applyAlignment="1" applyProtection="1" quotePrefix="1">
      <alignment vertical="center"/>
      <protection/>
    </xf>
    <xf numFmtId="0" fontId="2" fillId="0" borderId="50" xfId="0" applyFont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3"/>
  <sheetViews>
    <sheetView tabSelected="1" zoomScale="70" zoomScaleNormal="70" workbookViewId="0" topLeftCell="A1">
      <selection activeCell="E159" sqref="E159"/>
    </sheetView>
  </sheetViews>
  <sheetFormatPr defaultColWidth="8.7109375" defaultRowHeight="12.75"/>
  <cols>
    <col min="1" max="1" width="4.28125" style="1" customWidth="1"/>
    <col min="2" max="3" width="15.7109375" style="2" customWidth="1"/>
    <col min="4" max="4" width="15.7109375" style="1" customWidth="1"/>
    <col min="5" max="5" width="15.7109375" style="2" customWidth="1"/>
    <col min="6" max="6" width="12.57421875" style="2" customWidth="1"/>
    <col min="7" max="9" width="12.57421875" style="1" customWidth="1"/>
    <col min="10" max="11" width="15.7109375" style="1" customWidth="1"/>
    <col min="12" max="12" width="24.421875" style="1" customWidth="1"/>
    <col min="13" max="13" width="15.7109375" style="1" customWidth="1"/>
    <col min="14" max="14" width="6.7109375" style="1" customWidth="1"/>
    <col min="15" max="15" width="6.7109375" style="3" customWidth="1"/>
    <col min="16" max="16" width="34.7109375" style="4" customWidth="1"/>
    <col min="17" max="17" width="19.7109375" style="2" customWidth="1"/>
    <col min="18" max="18" width="6.7109375" style="5" customWidth="1"/>
    <col min="19" max="19" width="6.7109375" style="6" customWidth="1"/>
    <col min="20" max="20" width="34.7109375" style="1" customWidth="1"/>
    <col min="21" max="21" width="19.7109375" style="1" customWidth="1"/>
    <col min="22" max="22" width="6.7109375" style="1" customWidth="1"/>
    <col min="23" max="23" width="6.7109375" style="3" customWidth="1"/>
    <col min="24" max="24" width="34.7109375" style="1" customWidth="1"/>
    <col min="25" max="25" width="19.7109375" style="1" customWidth="1"/>
    <col min="26" max="27" width="6.7109375" style="1" customWidth="1"/>
    <col min="28" max="28" width="56.140625" style="1" customWidth="1"/>
    <col min="29" max="29" width="9.57421875" style="1" customWidth="1"/>
    <col min="30" max="30" width="14.140625" style="1" customWidth="1"/>
    <col min="31" max="31" width="16.421875" style="2" customWidth="1"/>
    <col min="32" max="32" width="6.7109375" style="1" customWidth="1"/>
    <col min="33" max="33" width="9.57421875" style="1" customWidth="1"/>
    <col min="34" max="34" width="6.7109375" style="1" customWidth="1"/>
    <col min="35" max="35" width="12.7109375" style="1" customWidth="1"/>
    <col min="36" max="40" width="6.7109375" style="1" customWidth="1"/>
    <col min="41" max="41" width="10.140625" style="1" customWidth="1"/>
    <col min="42" max="42" width="9.8515625" style="1" customWidth="1"/>
    <col min="43" max="43" width="12.140625" style="1" customWidth="1"/>
    <col min="44" max="44" width="6.7109375" style="1" customWidth="1"/>
    <col min="45" max="45" width="9.00390625" style="1" customWidth="1"/>
    <col min="46" max="46" width="6.7109375" style="1" customWidth="1"/>
    <col min="47" max="47" width="9.28125" style="1" customWidth="1"/>
    <col min="48" max="52" width="6.7109375" style="1" customWidth="1"/>
    <col min="53" max="16384" width="9.140625" style="1" bestFit="1" customWidth="1"/>
  </cols>
  <sheetData>
    <row r="1" spans="2:256" ht="51" customHeight="1">
      <c r="B1" s="7" t="s">
        <v>0</v>
      </c>
      <c r="C1" s="7"/>
      <c r="D1" s="8"/>
      <c r="E1" s="9" t="s">
        <v>1</v>
      </c>
      <c r="F1" s="10"/>
      <c r="G1" s="10"/>
      <c r="H1" s="10"/>
      <c r="I1" s="10"/>
      <c r="J1" s="10"/>
      <c r="K1" s="10"/>
      <c r="L1" s="88"/>
      <c r="M1" s="4"/>
      <c r="N1" s="2"/>
      <c r="O1" s="5"/>
      <c r="P1" s="6"/>
      <c r="Q1" s="1"/>
      <c r="R1" s="1"/>
      <c r="S1" s="1"/>
      <c r="T1" s="3"/>
      <c r="W1" s="1"/>
      <c r="AB1" s="2"/>
      <c r="AE1" s="1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  <c r="IV1" s="182"/>
    </row>
    <row r="2" spans="2:19" ht="34.5" customHeight="1">
      <c r="B2" s="11" t="s">
        <v>2</v>
      </c>
      <c r="C2" s="12">
        <v>1080</v>
      </c>
      <c r="D2" s="13"/>
      <c r="E2" s="11" t="s">
        <v>3</v>
      </c>
      <c r="F2" s="14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6" t="s">
        <v>9</v>
      </c>
      <c r="L2" s="89" t="str">
        <f>IF(OR(F33&gt;590-(C2/C3)*8.9,C2*C3&gt;(4096*2160)),IF(F33&gt;590-(C2/C3)*8.9,"带宽过高，需要减小分辨率或刷新率","有效点数过大，需要减小分辨率"),"OK")</f>
        <v>OK</v>
      </c>
      <c r="M2" s="90"/>
      <c r="N2" s="91"/>
      <c r="R2" s="1"/>
      <c r="S2" s="3"/>
    </row>
    <row r="3" spans="2:19" ht="34.5" customHeight="1">
      <c r="B3" s="11" t="s">
        <v>10</v>
      </c>
      <c r="C3" s="12">
        <v>7680</v>
      </c>
      <c r="D3" s="13"/>
      <c r="E3" s="16" t="s">
        <v>11</v>
      </c>
      <c r="F3" s="16">
        <f>F29</f>
        <v>1080</v>
      </c>
      <c r="G3" s="16">
        <f>J52</f>
        <v>48</v>
      </c>
      <c r="H3" s="16">
        <f>J53</f>
        <v>32</v>
      </c>
      <c r="I3" s="16">
        <f>J41</f>
        <v>1240</v>
      </c>
      <c r="J3" s="16" t="str">
        <f>F37</f>
        <v>POSITIVE</v>
      </c>
      <c r="K3" s="16"/>
      <c r="L3" s="16"/>
      <c r="M3" s="90"/>
      <c r="N3" s="91"/>
      <c r="R3" s="1"/>
      <c r="S3" s="3"/>
    </row>
    <row r="4" spans="2:19" ht="34.5" customHeight="1">
      <c r="B4" s="11" t="s">
        <v>12</v>
      </c>
      <c r="C4" s="12">
        <v>59</v>
      </c>
      <c r="D4" s="13"/>
      <c r="E4" s="16" t="s">
        <v>13</v>
      </c>
      <c r="F4" s="16">
        <f>F30</f>
        <v>7680</v>
      </c>
      <c r="G4" s="16">
        <f>J64</f>
        <v>23</v>
      </c>
      <c r="H4" s="16">
        <f>J65</f>
        <v>10</v>
      </c>
      <c r="I4" s="16">
        <f>J58</f>
        <v>7895</v>
      </c>
      <c r="J4" s="16" t="str">
        <f>F38</f>
        <v>NEGATIVE</v>
      </c>
      <c r="K4" s="16"/>
      <c r="L4" s="16"/>
      <c r="M4" s="90"/>
      <c r="N4" s="91"/>
      <c r="R4" s="1"/>
      <c r="S4" s="3"/>
    </row>
    <row r="5" spans="1:31" ht="16.5">
      <c r="A5" s="17"/>
      <c r="B5" s="18"/>
      <c r="C5" s="18"/>
      <c r="D5" s="17"/>
      <c r="E5" s="18"/>
      <c r="F5" s="18"/>
      <c r="G5" s="17"/>
      <c r="H5" s="17"/>
      <c r="I5" s="17"/>
      <c r="J5" s="17"/>
      <c r="K5" s="17"/>
      <c r="L5" s="17"/>
      <c r="M5" s="17"/>
      <c r="R5" s="1"/>
      <c r="S5" s="3"/>
      <c r="W5" s="6"/>
      <c r="AE5" s="1"/>
    </row>
    <row r="6" spans="1:31" ht="17.25" hidden="1">
      <c r="A6" s="17"/>
      <c r="B6" s="18"/>
      <c r="C6" s="18"/>
      <c r="D6" s="17"/>
      <c r="E6" s="18"/>
      <c r="F6" s="18"/>
      <c r="G6" s="17"/>
      <c r="H6" s="17"/>
      <c r="I6" s="17"/>
      <c r="J6" s="17"/>
      <c r="K6" s="17"/>
      <c r="L6" s="17"/>
      <c r="M6" s="17"/>
      <c r="R6" s="1"/>
      <c r="S6" s="3"/>
      <c r="W6" s="6"/>
      <c r="AE6" s="1"/>
    </row>
    <row r="7" spans="1:58" ht="24.75" customHeight="1" hidden="1">
      <c r="A7" s="19"/>
      <c r="B7" s="20"/>
      <c r="C7" s="20"/>
      <c r="D7" s="21"/>
      <c r="E7" s="20"/>
      <c r="F7" s="20"/>
      <c r="G7" s="21"/>
      <c r="H7" s="21"/>
      <c r="I7" s="21"/>
      <c r="J7" s="20"/>
      <c r="K7" s="20"/>
      <c r="L7" s="21"/>
      <c r="M7" s="92"/>
      <c r="O7" s="93" t="s">
        <v>14</v>
      </c>
      <c r="P7" s="94"/>
      <c r="Q7" s="153"/>
      <c r="R7" s="1"/>
      <c r="S7" s="93" t="s">
        <v>15</v>
      </c>
      <c r="T7" s="154"/>
      <c r="U7" s="153"/>
      <c r="W7" s="93" t="s">
        <v>16</v>
      </c>
      <c r="X7" s="154"/>
      <c r="Y7" s="153"/>
      <c r="AA7" s="171" t="s">
        <v>17</v>
      </c>
      <c r="AB7" s="154"/>
      <c r="AC7" s="172"/>
      <c r="AE7" s="1"/>
      <c r="BE7" s="17"/>
      <c r="BF7" s="79"/>
    </row>
    <row r="8" spans="1:58" ht="39.75" customHeight="1" hidden="1">
      <c r="A8" s="22"/>
      <c r="B8" s="23" t="s">
        <v>18</v>
      </c>
      <c r="C8" s="23"/>
      <c r="D8" s="17"/>
      <c r="E8" s="24"/>
      <c r="F8" s="25"/>
      <c r="G8" s="26"/>
      <c r="H8" s="26"/>
      <c r="I8" s="26"/>
      <c r="J8" s="95"/>
      <c r="K8" s="96">
        <f>C2</f>
        <v>1080</v>
      </c>
      <c r="L8" s="97">
        <f>IF(H_PIXELS&lt;&gt;H_PIXELS_RND,"WARNING! - Rounded to Nearest Character Cell","")</f>
      </c>
      <c r="M8" s="98"/>
      <c r="O8" s="99"/>
      <c r="P8" s="100" t="s">
        <v>19</v>
      </c>
      <c r="Q8" s="155">
        <v>1</v>
      </c>
      <c r="R8" s="1"/>
      <c r="S8" s="109"/>
      <c r="T8" s="156" t="s">
        <v>20</v>
      </c>
      <c r="U8" s="155">
        <f>K100</f>
        <v>550</v>
      </c>
      <c r="W8" s="109"/>
      <c r="X8" s="17" t="s">
        <v>21</v>
      </c>
      <c r="Y8" s="155">
        <f>K123</f>
        <v>460</v>
      </c>
      <c r="AA8" s="173">
        <v>1</v>
      </c>
      <c r="AB8" s="17">
        <f>IF(OR(H_PIXELS="",V_LINES="",MARGINS_RQD?="",INT_RQD?="",IP_FREQ_RQD="",RED_BLANK_RQD?=""),"ERROR!  Invalid Input Parameters  ","")</f>
      </c>
      <c r="AC8" s="174">
        <f>IF(OR(H_PIXELS="",V_LINES="",MARGINS_RQD?="",INT_RQD?="",IP_FREQ_RQD="",RED_BLANK_RQD?=""),"Yes","")</f>
      </c>
      <c r="AE8" s="1"/>
      <c r="BE8" s="17"/>
      <c r="BF8" s="79"/>
    </row>
    <row r="9" spans="1:58" ht="39.75" customHeight="1" hidden="1">
      <c r="A9" s="22"/>
      <c r="B9" s="23" t="s">
        <v>22</v>
      </c>
      <c r="C9" s="23"/>
      <c r="D9" s="17"/>
      <c r="E9" s="24"/>
      <c r="F9" s="25"/>
      <c r="G9" s="26"/>
      <c r="H9" s="26"/>
      <c r="I9" s="26"/>
      <c r="J9" s="95"/>
      <c r="K9" s="96">
        <f>C3</f>
        <v>7680</v>
      </c>
      <c r="L9" s="97">
        <f>IF((V_LINES/IF(INT_RQD?="y",2,1))&lt;&gt;V_LINES_RND,"WARNING! - Rounded to Nearest Whole Line","")</f>
      </c>
      <c r="M9" s="98"/>
      <c r="O9" s="99"/>
      <c r="P9" s="100" t="s">
        <v>23</v>
      </c>
      <c r="Q9" s="155">
        <f>$K$83</f>
        <v>1.8</v>
      </c>
      <c r="R9" s="1"/>
      <c r="S9" s="109"/>
      <c r="T9" s="100" t="s">
        <v>24</v>
      </c>
      <c r="U9" s="155">
        <f>K94</f>
        <v>8</v>
      </c>
      <c r="W9" s="109"/>
      <c r="X9" s="79" t="s">
        <v>25</v>
      </c>
      <c r="Y9" s="155">
        <f>K121</f>
        <v>32</v>
      </c>
      <c r="AA9" s="173">
        <v>2</v>
      </c>
      <c r="AB9" s="17">
        <f>IF(H_PIXELS&lt;&gt;H_PIXELS_RND,"WARNING!  Horizontal Pixel Count Rounded to Nearest Character Cell","")</f>
      </c>
      <c r="AC9" s="174"/>
      <c r="AE9" s="1"/>
      <c r="BE9" s="17"/>
      <c r="BF9" s="79"/>
    </row>
    <row r="10" spans="1:58" ht="39.75" customHeight="1" hidden="1">
      <c r="A10" s="22"/>
      <c r="B10" s="23" t="s">
        <v>26</v>
      </c>
      <c r="C10" s="23"/>
      <c r="D10" s="17"/>
      <c r="E10" s="18"/>
      <c r="F10" s="18"/>
      <c r="G10" s="17"/>
      <c r="H10" s="17"/>
      <c r="I10" s="101"/>
      <c r="J10" s="17"/>
      <c r="K10" s="102" t="s">
        <v>27</v>
      </c>
      <c r="L10" s="97"/>
      <c r="M10" s="98"/>
      <c r="O10" s="103"/>
      <c r="P10" s="104" t="s">
        <v>28</v>
      </c>
      <c r="Q10" s="155">
        <f>ROUNDDOWN(MIN_V_PORCH,0)</f>
        <v>3</v>
      </c>
      <c r="R10" s="1"/>
      <c r="S10" s="103"/>
      <c r="T10" s="157"/>
      <c r="U10" s="158"/>
      <c r="W10" s="109"/>
      <c r="X10" s="17" t="s">
        <v>29</v>
      </c>
      <c r="Y10" s="155">
        <f>K120</f>
        <v>160</v>
      </c>
      <c r="AA10" s="173">
        <v>3</v>
      </c>
      <c r="AB10" s="17">
        <f>IF(V_LINES&lt;&gt;(V_LINES_RND*IF(INT_RQD?="Y",2,1)),"WARNING!  Vertical Pixel Count Rounded To Nearest Integer  ","")</f>
      </c>
      <c r="AC10" s="174"/>
      <c r="AE10" s="1"/>
      <c r="BE10" s="17"/>
      <c r="BF10" s="79"/>
    </row>
    <row r="11" spans="1:58" ht="39.75" customHeight="1" hidden="1">
      <c r="A11" s="22"/>
      <c r="B11" s="23" t="s">
        <v>30</v>
      </c>
      <c r="C11" s="23"/>
      <c r="D11" s="17"/>
      <c r="E11" s="18"/>
      <c r="F11" s="18"/>
      <c r="G11" s="17"/>
      <c r="H11" s="17"/>
      <c r="I11" s="101" t="s">
        <v>31</v>
      </c>
      <c r="J11" s="17"/>
      <c r="K11" s="102" t="s">
        <v>27</v>
      </c>
      <c r="L11" s="97"/>
      <c r="M11" s="98"/>
      <c r="O11" s="93" t="s">
        <v>32</v>
      </c>
      <c r="P11" s="94"/>
      <c r="Q11" s="153"/>
      <c r="R11" s="1"/>
      <c r="S11" s="159" t="s">
        <v>33</v>
      </c>
      <c r="T11" s="17"/>
      <c r="U11" s="160"/>
      <c r="V11" s="17"/>
      <c r="W11" s="93" t="s">
        <v>33</v>
      </c>
      <c r="X11" s="154"/>
      <c r="Y11" s="153"/>
      <c r="AA11" s="173">
        <v>4</v>
      </c>
      <c r="AB11" s="17" t="str">
        <f>IF(H36&lt;&gt;"","WARNING!  Aspect Ratio Not CVT Standard","")</f>
        <v>WARNING!  Aspect Ratio Not CVT Standard</v>
      </c>
      <c r="AC11" s="174"/>
      <c r="AE11" s="1"/>
      <c r="BE11" s="17"/>
      <c r="BF11" s="79"/>
    </row>
    <row r="12" spans="1:58" ht="39.75" customHeight="1" hidden="1">
      <c r="A12" s="22"/>
      <c r="B12" s="23" t="s">
        <v>34</v>
      </c>
      <c r="C12" s="23"/>
      <c r="D12" s="17"/>
      <c r="E12" s="18"/>
      <c r="F12" s="18"/>
      <c r="G12" s="26" t="str">
        <f>"NOTE: Actual frame rate will be within +/- 0.6Hz due to pixel clock rounding to "&amp;CLOCK_STEP&amp;"MHz."</f>
        <v>NOTE: Actual frame rate will be within +/- 0.6Hz due to pixel clock rounding to 0.001MHz.</v>
      </c>
      <c r="H12" s="27"/>
      <c r="I12" s="27"/>
      <c r="J12" s="105"/>
      <c r="K12" s="106">
        <f>C4</f>
        <v>59</v>
      </c>
      <c r="L12" s="107" t="s">
        <v>35</v>
      </c>
      <c r="M12" s="108"/>
      <c r="O12" s="109">
        <v>1</v>
      </c>
      <c r="P12" s="27" t="s">
        <v>36</v>
      </c>
      <c r="Q12" s="160"/>
      <c r="R12" s="1"/>
      <c r="S12" s="109">
        <f>O32+1</f>
        <v>8</v>
      </c>
      <c r="T12" s="79" t="s">
        <v>37</v>
      </c>
      <c r="U12" s="155"/>
      <c r="V12" s="17"/>
      <c r="W12" s="109">
        <f>O32+1</f>
        <v>8</v>
      </c>
      <c r="X12" s="79" t="s">
        <v>37</v>
      </c>
      <c r="Y12" s="155"/>
      <c r="AA12" s="173">
        <v>5</v>
      </c>
      <c r="AB12" s="17" t="str">
        <f>IF(OR(IP_FREQ_RQD=50,IP_FREQ_RQD=60,IP_FREQ_RQD=75,IP_FREQ_RQD=85),"","WARNING!  Refresh Rate Not a CVT Standard  ")</f>
        <v>WARNING!  Refresh Rate Not a CVT Standard  </v>
      </c>
      <c r="AC12" s="174"/>
      <c r="AE12" s="1"/>
      <c r="BE12" s="17"/>
      <c r="BF12" s="79"/>
    </row>
    <row r="13" spans="1:58" ht="39.75" customHeight="1" hidden="1">
      <c r="A13" s="22"/>
      <c r="B13" s="23" t="s">
        <v>38</v>
      </c>
      <c r="C13" s="23"/>
      <c r="D13" s="17"/>
      <c r="E13" s="18"/>
      <c r="F13" s="18"/>
      <c r="G13" s="28"/>
      <c r="H13" s="29"/>
      <c r="I13" s="29"/>
      <c r="J13" s="27"/>
      <c r="K13" s="102" t="s">
        <v>39</v>
      </c>
      <c r="L13" s="97"/>
      <c r="M13" s="98"/>
      <c r="O13" s="109"/>
      <c r="P13" s="67" t="s">
        <v>40</v>
      </c>
      <c r="Q13" s="155">
        <f>(IF(INT_RQD?="y",IP_FREQ_RQD*2,IP_FREQ_RQD))</f>
        <v>59</v>
      </c>
      <c r="R13" s="1"/>
      <c r="S13" s="109"/>
      <c r="T13" s="79" t="s">
        <v>41</v>
      </c>
      <c r="U13" s="155">
        <f>((1/V_FIELD_RATE_RQD)-MIN_VSYNC_BP/1000000)/(V_LINES_RND+(2*TOP_MARGIN)+MIN_V_PORCH_RND+INTERLACE)*1000000</f>
        <v>2.134472542284639</v>
      </c>
      <c r="W13" s="109"/>
      <c r="X13" s="79" t="s">
        <v>41</v>
      </c>
      <c r="Y13" s="155">
        <f>((1000000/V_FIELD_RATE_RQD)-RB_MIN_V_BLANK)/(V_LINES_RND+TOP_MARGIN+BOT_MARGIN)</f>
        <v>2.147025070621469</v>
      </c>
      <c r="AA13" s="173">
        <v>6</v>
      </c>
      <c r="AB13" s="17" t="str">
        <f>IF(AND(RED_BLANK_RQD?="Y",IP_FREQ_RQD&lt;&gt;60),"WARNING!  60Hz Refresh Rate Advised For Reduced Blanking","")</f>
        <v>WARNING!  60Hz Refresh Rate Advised For Reduced Blanking</v>
      </c>
      <c r="AC13" s="174"/>
      <c r="AE13" s="1"/>
      <c r="BE13" s="17"/>
      <c r="BF13" s="79"/>
    </row>
    <row r="14" spans="1:58" ht="24.75" customHeight="1" hidden="1">
      <c r="A14" s="22"/>
      <c r="B14" s="23"/>
      <c r="C14" s="23"/>
      <c r="D14" s="17"/>
      <c r="E14" s="18"/>
      <c r="F14" s="18"/>
      <c r="G14" s="28"/>
      <c r="H14" s="29"/>
      <c r="I14" s="29"/>
      <c r="J14" s="27"/>
      <c r="K14" s="23"/>
      <c r="L14" s="110"/>
      <c r="M14" s="98"/>
      <c r="O14" s="109"/>
      <c r="P14" s="67"/>
      <c r="Q14" s="155"/>
      <c r="R14" s="1"/>
      <c r="S14" s="109"/>
      <c r="T14" s="17"/>
      <c r="U14" s="160"/>
      <c r="W14" s="109"/>
      <c r="X14" s="17"/>
      <c r="Y14" s="160"/>
      <c r="AA14" s="175"/>
      <c r="AB14" s="17"/>
      <c r="AC14" s="174"/>
      <c r="AE14" s="1"/>
      <c r="BE14" s="17"/>
      <c r="BF14" s="79"/>
    </row>
    <row r="15" spans="1:58" ht="24.75" customHeight="1" hidden="1">
      <c r="A15" s="22"/>
      <c r="B15" s="23"/>
      <c r="C15" s="30" t="s">
        <v>42</v>
      </c>
      <c r="D15" s="31" t="str">
        <f>IF(AA16="","OK",AA16)</f>
        <v>WARNING!  Aspect Ratio Not CVT Standard
WARNING!  Refresh Rate Not a CVT Standard  
WARNING!  60Hz Refresh Rate Advised For Reduced Blanking
</v>
      </c>
      <c r="E15" s="32"/>
      <c r="F15" s="32"/>
      <c r="G15" s="33"/>
      <c r="H15" s="33"/>
      <c r="I15" s="33"/>
      <c r="J15" s="33"/>
      <c r="K15" s="33"/>
      <c r="L15" s="111"/>
      <c r="M15" s="112"/>
      <c r="O15" s="109">
        <f>O12+1</f>
        <v>2</v>
      </c>
      <c r="P15" s="67" t="s">
        <v>43</v>
      </c>
      <c r="Q15" s="155"/>
      <c r="R15" s="1"/>
      <c r="S15" s="109">
        <f>S12+1</f>
        <v>9</v>
      </c>
      <c r="T15" s="17" t="s">
        <v>44</v>
      </c>
      <c r="U15" s="160"/>
      <c r="W15" s="109">
        <f>W12+1</f>
        <v>9</v>
      </c>
      <c r="X15" s="79" t="s">
        <v>45</v>
      </c>
      <c r="Y15" s="155"/>
      <c r="AA15" s="171" t="s">
        <v>46</v>
      </c>
      <c r="AB15" s="154"/>
      <c r="AC15" s="172"/>
      <c r="AE15" s="1"/>
      <c r="BE15" s="17"/>
      <c r="BF15" s="79"/>
    </row>
    <row r="16" spans="1:58" ht="24.75" customHeight="1" hidden="1">
      <c r="A16" s="22"/>
      <c r="B16" s="23"/>
      <c r="C16" s="34"/>
      <c r="D16" s="35"/>
      <c r="E16" s="36"/>
      <c r="F16" s="36"/>
      <c r="G16" s="37"/>
      <c r="H16" s="37"/>
      <c r="I16" s="37"/>
      <c r="J16" s="37"/>
      <c r="K16" s="37"/>
      <c r="L16" s="113"/>
      <c r="M16" s="112"/>
      <c r="O16" s="109"/>
      <c r="P16" s="67" t="s">
        <v>47</v>
      </c>
      <c r="Q16" s="161">
        <f>ROUNDDOWN(H_PIXELS/CELL_GRAN_RND,0)*CELL_GRAN_RND</f>
        <v>1080</v>
      </c>
      <c r="R16" s="1"/>
      <c r="S16" s="109"/>
      <c r="T16" s="79" t="s">
        <v>48</v>
      </c>
      <c r="U16" s="162">
        <f>ROUNDDOWN((MIN_VSYNC_BP/H_PERIOD_EST),0)+1</f>
        <v>257</v>
      </c>
      <c r="W16" s="109"/>
      <c r="X16" s="79" t="s">
        <v>49</v>
      </c>
      <c r="Y16" s="155">
        <f>ROUNDDOWN(RB_MIN_V_BLANK/H_PERIOD_EST,0)+1</f>
        <v>215</v>
      </c>
      <c r="AA16" s="176" t="str">
        <f>IF(AB8&lt;&gt;"",AB8&amp;CHAR(10),"")&amp;IF(AB9&lt;&gt;"",AB9&amp;CHAR(10),"")&amp;IF(AB10&lt;&gt;"",AB10&amp;CHAR(10),"")&amp;IF(AB11&lt;&gt;"",AB11&amp;CHAR(10),"")&amp;IF(AB12&lt;&gt;"",AB12&amp;CHAR(10),"")&amp;IF(AB13&lt;&gt;"",AB13&amp;CHAR(10),"")</f>
        <v>WARNING!  Aspect Ratio Not CVT Standard
WARNING!  Refresh Rate Not a CVT Standard  
WARNING!  60Hz Refresh Rate Advised For Reduced Blanking
</v>
      </c>
      <c r="AB16" s="49"/>
      <c r="AC16" s="177"/>
      <c r="AE16" s="1"/>
      <c r="BE16" s="17"/>
      <c r="BF16" s="79"/>
    </row>
    <row r="17" spans="1:58" ht="24.75" customHeight="1" hidden="1">
      <c r="A17" s="22"/>
      <c r="B17" s="23"/>
      <c r="C17" s="34"/>
      <c r="D17" s="35"/>
      <c r="E17" s="36"/>
      <c r="F17" s="36"/>
      <c r="G17" s="37"/>
      <c r="H17" s="37"/>
      <c r="I17" s="37"/>
      <c r="J17" s="37"/>
      <c r="K17" s="37"/>
      <c r="L17" s="113"/>
      <c r="M17" s="112"/>
      <c r="O17" s="109"/>
      <c r="P17" s="27"/>
      <c r="Q17" s="155"/>
      <c r="R17" s="1"/>
      <c r="S17" s="109"/>
      <c r="T17" s="79" t="s">
        <v>50</v>
      </c>
      <c r="U17" s="160">
        <f>((MIN_VSYNC_BP/H_PERIOD_EST))</f>
        <v>256.1684106654606</v>
      </c>
      <c r="V17" s="79"/>
      <c r="W17" s="109"/>
      <c r="X17" s="17" t="s">
        <v>51</v>
      </c>
      <c r="Y17" s="160">
        <f>RB_MIN_V_BLANK/H_PERIOD_EST</f>
        <v>214.24994346565796</v>
      </c>
      <c r="AA17" s="178"/>
      <c r="AB17" s="49"/>
      <c r="AC17" s="177"/>
      <c r="AE17" s="1"/>
      <c r="BE17" s="17"/>
      <c r="BF17" s="79"/>
    </row>
    <row r="18" spans="1:58" ht="24.75" customHeight="1" hidden="1">
      <c r="A18" s="22"/>
      <c r="B18" s="23"/>
      <c r="C18" s="34"/>
      <c r="D18" s="35"/>
      <c r="E18" s="36"/>
      <c r="F18" s="36"/>
      <c r="G18" s="37"/>
      <c r="H18" s="37"/>
      <c r="I18" s="37"/>
      <c r="J18" s="37"/>
      <c r="K18" s="37"/>
      <c r="L18" s="113"/>
      <c r="M18" s="112"/>
      <c r="O18" s="109">
        <f>O15+1</f>
        <v>3</v>
      </c>
      <c r="P18" s="27" t="s">
        <v>52</v>
      </c>
      <c r="Q18" s="155"/>
      <c r="R18" s="1"/>
      <c r="S18" s="109"/>
      <c r="T18" s="79" t="s">
        <v>53</v>
      </c>
      <c r="U18" s="160">
        <f>IF(U16&lt;(V_SYNC+MIN_V_BPORCH),V_SYNC+MIN_V_BPORCH,U16)</f>
        <v>257</v>
      </c>
      <c r="W18" s="109"/>
      <c r="X18" s="17"/>
      <c r="Y18" s="160"/>
      <c r="AA18" s="179"/>
      <c r="AB18" s="180"/>
      <c r="AC18" s="181"/>
      <c r="AE18" s="1"/>
      <c r="BE18" s="17"/>
      <c r="BF18" s="79"/>
    </row>
    <row r="19" spans="1:58" ht="24.75" customHeight="1" hidden="1">
      <c r="A19" s="22"/>
      <c r="B19" s="23"/>
      <c r="C19" s="34"/>
      <c r="D19" s="35"/>
      <c r="E19" s="36"/>
      <c r="F19" s="36"/>
      <c r="G19" s="37"/>
      <c r="H19" s="37"/>
      <c r="I19" s="37"/>
      <c r="J19" s="37"/>
      <c r="K19" s="37"/>
      <c r="L19" s="113"/>
      <c r="M19" s="112"/>
      <c r="O19" s="109"/>
      <c r="P19" s="67" t="s">
        <v>54</v>
      </c>
      <c r="Q19" s="161">
        <f>(IF(MARGINS_RQD?="Y",(ROUNDDOWN((H_PIXELS_RND*MARGIN_PER/100/CELL_GRAN_RND),0))*CELL_GRAN_RND,0))</f>
        <v>0</v>
      </c>
      <c r="R19" s="1"/>
      <c r="S19" s="109"/>
      <c r="T19" s="79"/>
      <c r="U19" s="160"/>
      <c r="V19" s="79"/>
      <c r="W19" s="109">
        <f>W15+1</f>
        <v>10</v>
      </c>
      <c r="X19" s="163" t="s">
        <v>55</v>
      </c>
      <c r="Y19" s="160"/>
      <c r="AA19" s="2"/>
      <c r="AE19" s="1"/>
      <c r="BE19" s="17"/>
      <c r="BF19" s="79"/>
    </row>
    <row r="20" spans="1:58" ht="24.75" customHeight="1" hidden="1">
      <c r="A20" s="22"/>
      <c r="B20" s="23"/>
      <c r="C20" s="34"/>
      <c r="D20" s="38"/>
      <c r="E20" s="39"/>
      <c r="F20" s="39"/>
      <c r="G20" s="40"/>
      <c r="H20" s="40"/>
      <c r="I20" s="40"/>
      <c r="J20" s="40"/>
      <c r="K20" s="40"/>
      <c r="L20" s="114"/>
      <c r="M20" s="112"/>
      <c r="O20" s="109"/>
      <c r="P20" s="67" t="s">
        <v>56</v>
      </c>
      <c r="Q20" s="161">
        <f>(IF(MARGINS_RQD?="Y",(ROUNDDOWN((H_PIXELS_RND*MARGIN_PER/100/CELL_GRAN_RND),0))*CELL_GRAN_RND,0))</f>
        <v>0</v>
      </c>
      <c r="R20" s="1"/>
      <c r="S20" s="109">
        <f>S15+1</f>
        <v>10</v>
      </c>
      <c r="T20" s="17" t="s">
        <v>57</v>
      </c>
      <c r="U20" s="160"/>
      <c r="V20" s="79"/>
      <c r="W20" s="109"/>
      <c r="X20" s="163" t="s">
        <v>58</v>
      </c>
      <c r="Y20" s="160">
        <f>RB_V_FPORCH+V_SYNC_RND+MIN_V_BPORCH</f>
        <v>39</v>
      </c>
      <c r="AA20" s="2"/>
      <c r="AE20" s="1"/>
      <c r="BE20" s="17"/>
      <c r="BF20" s="79"/>
    </row>
    <row r="21" spans="1:58" ht="24.75" customHeight="1" hidden="1">
      <c r="A21" s="41"/>
      <c r="B21" s="42"/>
      <c r="C21" s="43"/>
      <c r="D21" s="44"/>
      <c r="E21" s="43"/>
      <c r="F21" s="43"/>
      <c r="G21" s="44"/>
      <c r="H21" s="44"/>
      <c r="I21" s="44"/>
      <c r="J21" s="44"/>
      <c r="K21" s="115"/>
      <c r="L21" s="116"/>
      <c r="M21" s="117"/>
      <c r="O21" s="109"/>
      <c r="P21" s="67"/>
      <c r="Q21" s="161"/>
      <c r="R21" s="1"/>
      <c r="S21" s="109"/>
      <c r="T21" s="17" t="s">
        <v>59</v>
      </c>
      <c r="U21" s="161">
        <f>V_SYNC_BP-V_SYNC_RND</f>
        <v>247</v>
      </c>
      <c r="W21" s="109"/>
      <c r="X21" s="163" t="s">
        <v>60</v>
      </c>
      <c r="Y21" s="160">
        <f>IF(VBI_LINES&lt;RB_MIN_VBI,RB_MIN_VBI,VBI_LINES)</f>
        <v>215</v>
      </c>
      <c r="AA21" s="2"/>
      <c r="AE21" s="1"/>
      <c r="BE21" s="17"/>
      <c r="BF21" s="79"/>
    </row>
    <row r="22" spans="1:58" ht="24.75" customHeight="1" hidden="1">
      <c r="A22" s="21"/>
      <c r="B22" s="45"/>
      <c r="C22" s="20"/>
      <c r="D22" s="21"/>
      <c r="E22" s="20"/>
      <c r="F22" s="20"/>
      <c r="G22" s="21"/>
      <c r="H22" s="21"/>
      <c r="I22" s="21"/>
      <c r="J22" s="21"/>
      <c r="K22" s="118"/>
      <c r="L22" s="119"/>
      <c r="M22" s="21"/>
      <c r="O22" s="109">
        <f>O18+1</f>
        <v>4</v>
      </c>
      <c r="P22" s="67" t="s">
        <v>61</v>
      </c>
      <c r="Q22" s="161"/>
      <c r="R22" s="1"/>
      <c r="S22" s="109"/>
      <c r="T22" s="17"/>
      <c r="U22" s="160"/>
      <c r="W22" s="109"/>
      <c r="X22" s="17"/>
      <c r="Y22" s="160"/>
      <c r="AA22" s="2"/>
      <c r="AE22" s="1"/>
      <c r="BE22" s="17"/>
      <c r="BF22" s="79"/>
    </row>
    <row r="23" spans="1:58" ht="24.75" customHeight="1" hidden="1">
      <c r="A23" s="17"/>
      <c r="B23" s="46"/>
      <c r="C23" s="18"/>
      <c r="D23" s="17"/>
      <c r="E23" s="18"/>
      <c r="F23" s="18"/>
      <c r="G23" s="17"/>
      <c r="H23" s="17"/>
      <c r="I23" s="17"/>
      <c r="J23" s="17"/>
      <c r="K23" s="23"/>
      <c r="L23" s="79"/>
      <c r="M23" s="17"/>
      <c r="O23" s="109"/>
      <c r="P23" s="27" t="s">
        <v>62</v>
      </c>
      <c r="Q23" s="161">
        <f>H_PIXELS_RND+LEFT_MARGIN+RIGHT_MARGIN</f>
        <v>1080</v>
      </c>
      <c r="R23" s="1"/>
      <c r="S23" s="109">
        <f>S20+1</f>
        <v>11</v>
      </c>
      <c r="T23" s="79" t="s">
        <v>63</v>
      </c>
      <c r="U23" s="155"/>
      <c r="W23" s="109">
        <f>W19+1</f>
        <v>11</v>
      </c>
      <c r="X23" s="79" t="s">
        <v>63</v>
      </c>
      <c r="Y23" s="155"/>
      <c r="AA23" s="2"/>
      <c r="AE23" s="1"/>
      <c r="BE23" s="17"/>
      <c r="BF23" s="79"/>
    </row>
    <row r="24" spans="1:58" ht="24.75" customHeight="1" hidden="1">
      <c r="A24" s="47" t="str">
        <f>"Format: "&amp;F29&amp;" x "&amp;F30&amp;" @ "&amp;IP_FREQ_RQD&amp;" Hz"&amp;IF(RED_BLANK_RQD?="Y"," - Reduced Blanking","")</f>
        <v>Format: 1080 x 7680 @ 59 Hz - Reduced Blanking</v>
      </c>
      <c r="B24" s="48"/>
      <c r="C24" s="48"/>
      <c r="D24" s="49"/>
      <c r="E24" s="48"/>
      <c r="F24" s="48"/>
      <c r="G24" s="49"/>
      <c r="H24" s="49"/>
      <c r="I24" s="49"/>
      <c r="J24" s="49"/>
      <c r="K24" s="49"/>
      <c r="L24" s="49"/>
      <c r="M24" s="49"/>
      <c r="O24" s="109"/>
      <c r="P24" s="27"/>
      <c r="Q24" s="161"/>
      <c r="R24" s="1"/>
      <c r="S24" s="109"/>
      <c r="T24" s="55" t="s">
        <v>64</v>
      </c>
      <c r="U24" s="162">
        <f>V_LINES_RND+TOP_MARGIN+BOT_MARGIN+V_SYNC_BP+INTERLACE+MIN_V_PORCH_RND</f>
        <v>7940</v>
      </c>
      <c r="W24" s="109"/>
      <c r="X24" s="55" t="s">
        <v>64</v>
      </c>
      <c r="Y24" s="155">
        <f>ACT_VBI_LINES+V_LINES_RND+TOP_MARGIN+BOT_MARGIN+INTERLACE</f>
        <v>7895</v>
      </c>
      <c r="AA24" s="2"/>
      <c r="AE24" s="1"/>
      <c r="BE24" s="17"/>
      <c r="BF24" s="79"/>
    </row>
    <row r="25" spans="1:58" ht="24.75" customHeight="1" hidden="1">
      <c r="A25" s="49"/>
      <c r="B25" s="48"/>
      <c r="C25" s="48"/>
      <c r="D25" s="49"/>
      <c r="E25" s="48"/>
      <c r="F25" s="48"/>
      <c r="G25" s="49"/>
      <c r="H25" s="49"/>
      <c r="I25" s="49"/>
      <c r="J25" s="49"/>
      <c r="K25" s="49"/>
      <c r="L25" s="49"/>
      <c r="M25" s="49"/>
      <c r="O25" s="109">
        <f>O22+1</f>
        <v>5</v>
      </c>
      <c r="P25" s="120" t="s">
        <v>65</v>
      </c>
      <c r="Q25" s="161"/>
      <c r="R25" s="1"/>
      <c r="S25" s="109"/>
      <c r="T25" s="79"/>
      <c r="U25" s="155"/>
      <c r="W25" s="109"/>
      <c r="X25" s="17"/>
      <c r="Y25" s="160"/>
      <c r="AA25" s="2"/>
      <c r="AE25" s="1"/>
      <c r="BE25" s="17"/>
      <c r="BF25" s="79"/>
    </row>
    <row r="26" spans="1:58" ht="24.75" customHeight="1" hidden="1">
      <c r="A26" s="47" t="str">
        <f>"VESA CVT Name: "&amp;IF(D15="OK",TEXT(H_PIXELS_RND*V_LINES_RND/1000000,"0.00")&amp;"M"&amp;IF(ASPECT_RATIO="4:3","3",IF(ASPECT_RATIO="5:4","4",IF(OR(ASPECT_RATIO="15:9",ASPECT_RATIO="16:9"),"9",IF(ASPECT_RATIO="16:10","A",""))))&amp;IF(RED_BLANK_RQD?="Y","-R",""),"NOT CVT STANDARD! - "&amp;TEXT(H_PIXELS_RND*V_LINES_RND/1000000,"0.00")&amp;" Mega Pixel Image")</f>
        <v>VESA CVT Name: NOT CVT STANDARD! - 8.29 Mega Pixel Image</v>
      </c>
      <c r="B26" s="48"/>
      <c r="C26" s="48"/>
      <c r="D26" s="49"/>
      <c r="E26" s="48"/>
      <c r="F26" s="48"/>
      <c r="G26" s="49"/>
      <c r="H26" s="49"/>
      <c r="I26" s="49"/>
      <c r="J26" s="49"/>
      <c r="K26" s="49"/>
      <c r="L26" s="49"/>
      <c r="M26" s="49"/>
      <c r="O26" s="109"/>
      <c r="P26" s="67" t="s">
        <v>66</v>
      </c>
      <c r="Q26" s="161">
        <f>IF(INT_RQD?="y",ROUNDDOWN(V_LINES/2,0),ROUNDDOWN(V_LINES,0))</f>
        <v>7680</v>
      </c>
      <c r="R26" s="1"/>
      <c r="S26" s="109">
        <f>S23+1</f>
        <v>12</v>
      </c>
      <c r="T26" s="17" t="s">
        <v>67</v>
      </c>
      <c r="U26" s="160"/>
      <c r="W26" s="109">
        <f>W23+1</f>
        <v>12</v>
      </c>
      <c r="X26" s="79" t="s">
        <v>68</v>
      </c>
      <c r="Y26" s="155"/>
      <c r="AA26" s="2"/>
      <c r="AE26" s="1"/>
      <c r="BE26" s="17"/>
      <c r="BF26" s="79"/>
    </row>
    <row r="27" spans="1:58" ht="24.75" customHeight="1" hidden="1">
      <c r="A27" s="49"/>
      <c r="B27" s="48"/>
      <c r="C27" s="48"/>
      <c r="D27" s="49"/>
      <c r="E27" s="48"/>
      <c r="F27" s="48"/>
      <c r="G27" s="49"/>
      <c r="H27" s="49"/>
      <c r="I27" s="49"/>
      <c r="J27" s="49"/>
      <c r="K27" s="49"/>
      <c r="L27" s="49"/>
      <c r="M27" s="49"/>
      <c r="O27" s="109"/>
      <c r="P27" s="67"/>
      <c r="Q27" s="161"/>
      <c r="R27" s="1"/>
      <c r="S27" s="109"/>
      <c r="T27" s="79" t="s">
        <v>69</v>
      </c>
      <c r="U27" s="155">
        <f>C_PRIME-(M_PRIME*H_PERIOD_EST/1000)</f>
        <v>29.35589247881356</v>
      </c>
      <c r="W27" s="109"/>
      <c r="X27" s="79" t="s">
        <v>70</v>
      </c>
      <c r="Y27" s="155">
        <f>RB_H_BLANK+TOTAL_ACTIVE_PIXELS</f>
        <v>1240</v>
      </c>
      <c r="AA27" s="2"/>
      <c r="AE27" s="1"/>
      <c r="BE27" s="17"/>
      <c r="BF27" s="79"/>
    </row>
    <row r="28" spans="1:58" ht="24.75" customHeight="1" hidden="1">
      <c r="A28" s="50"/>
      <c r="B28" s="51"/>
      <c r="C28" s="51"/>
      <c r="D28" s="51"/>
      <c r="E28" s="51"/>
      <c r="F28" s="51"/>
      <c r="G28" s="51"/>
      <c r="H28" s="52"/>
      <c r="I28" s="51"/>
      <c r="J28" s="121"/>
      <c r="K28" s="51"/>
      <c r="L28" s="51"/>
      <c r="M28" s="122"/>
      <c r="O28" s="109">
        <f>O25+1</f>
        <v>6</v>
      </c>
      <c r="P28" s="67" t="s">
        <v>71</v>
      </c>
      <c r="Q28" s="161"/>
      <c r="R28" s="1"/>
      <c r="S28" s="109"/>
      <c r="T28" s="79"/>
      <c r="U28" s="155"/>
      <c r="W28" s="109"/>
      <c r="X28" s="17"/>
      <c r="Y28" s="160"/>
      <c r="AA28" s="2"/>
      <c r="AE28" s="1"/>
      <c r="BE28" s="17"/>
      <c r="BF28" s="79"/>
    </row>
    <row r="29" spans="1:58" ht="24.75" customHeight="1" hidden="1">
      <c r="A29" s="22"/>
      <c r="B29" s="23" t="s">
        <v>72</v>
      </c>
      <c r="C29" s="18"/>
      <c r="D29" s="17"/>
      <c r="E29" s="18"/>
      <c r="F29" s="53">
        <f>H_PIXELS_RND</f>
        <v>1080</v>
      </c>
      <c r="G29" s="27" t="s">
        <v>73</v>
      </c>
      <c r="H29" s="54"/>
      <c r="I29" s="17"/>
      <c r="J29" s="123"/>
      <c r="K29" s="18"/>
      <c r="L29" s="17"/>
      <c r="M29" s="124"/>
      <c r="O29" s="109"/>
      <c r="P29" s="67" t="s">
        <v>74</v>
      </c>
      <c r="Q29" s="161">
        <f>(IF(MARGINS_RQD?="Y",ROUNDDOWN((MARGIN_PER/100*V_LINES_RND),0),0))</f>
        <v>0</v>
      </c>
      <c r="R29" s="1"/>
      <c r="S29" s="109">
        <f>S26+1</f>
        <v>13</v>
      </c>
      <c r="T29" s="79" t="s">
        <v>75</v>
      </c>
      <c r="U29" s="155"/>
      <c r="W29" s="109">
        <f>W26+1</f>
        <v>13</v>
      </c>
      <c r="X29" s="163" t="s">
        <v>76</v>
      </c>
      <c r="Y29" s="155"/>
      <c r="AA29" s="2"/>
      <c r="AE29" s="1"/>
      <c r="BE29" s="17"/>
      <c r="BF29" s="79"/>
    </row>
    <row r="30" spans="1:58" ht="24.75" customHeight="1" hidden="1">
      <c r="A30" s="22"/>
      <c r="B30" s="23" t="s">
        <v>77</v>
      </c>
      <c r="C30" s="18"/>
      <c r="D30" s="17"/>
      <c r="E30" s="23">
        <f>(IF(INT_RQD?="y","PER FRAME:",""))</f>
      </c>
      <c r="F30" s="53">
        <f>IF(INT_RQD?="y",2*V_LINES_RND,V_LINES_RND)</f>
        <v>7680</v>
      </c>
      <c r="G30" s="27" t="s">
        <v>78</v>
      </c>
      <c r="H30" s="54"/>
      <c r="I30" s="125">
        <f>(IF(INT_RQD?="y","PER FIELD:",""))</f>
      </c>
      <c r="J30" s="53">
        <f>(IF(INT_RQD?="y",V_LINES_RND,""))</f>
      </c>
      <c r="K30" s="27">
        <f>(IF($K$11="y","LINES",""))</f>
      </c>
      <c r="L30" s="17"/>
      <c r="M30" s="124"/>
      <c r="O30" s="109"/>
      <c r="P30" s="67" t="s">
        <v>79</v>
      </c>
      <c r="Q30" s="161">
        <f>(IF(MARGINS_RQD?="Y",ROUNDDOWN((MARGIN_PER/100*V_LINES_RND),0),0))</f>
        <v>0</v>
      </c>
      <c r="R30" s="1"/>
      <c r="S30" s="109"/>
      <c r="T30" s="79" t="s">
        <v>80</v>
      </c>
      <c r="U30" s="161">
        <f>IF(IDEAL_DUTY_CYCLE&lt;20,(ROUNDDOWN((TOTAL_ACTIVE_PIXELS*20/(100-20)/(2*CELL_GRAN_RND)),0))*(2*CELL_GRAN_RND),(ROUNDDOWN((TOTAL_ACTIVE_PIXELS*IDEAL_DUTY_CYCLE/(100-IDEAL_DUTY_CYCLE)/(2*CELL_GRAN_RND)),0))*(2*CELL_GRAN_RND))</f>
        <v>448</v>
      </c>
      <c r="W30" s="109"/>
      <c r="X30" s="163" t="str">
        <f>"Rounded down to "&amp;CLOCK_STEP&amp;"MHz ="</f>
        <v>Rounded down to 0.001MHz =</v>
      </c>
      <c r="Y30" s="155">
        <f>CLOCK_STEP*ROUNDDOWN((V_FIELD_RATE_RQD*TOTAL_V_LINES*TOTAL_PIXELS/1000000)/CLOCK_STEP,0)</f>
        <v>577.598</v>
      </c>
      <c r="AA30" s="2"/>
      <c r="AE30" s="1"/>
      <c r="BE30" s="17"/>
      <c r="BF30" s="79"/>
    </row>
    <row r="31" spans="1:58" ht="24.75" customHeight="1" hidden="1">
      <c r="A31" s="22"/>
      <c r="B31" s="23" t="s">
        <v>81</v>
      </c>
      <c r="C31" s="18"/>
      <c r="D31" s="17"/>
      <c r="E31" s="18"/>
      <c r="F31" s="24">
        <f>ACT_H_FREQ</f>
        <v>465.8048387096774</v>
      </c>
      <c r="G31" s="27" t="s">
        <v>82</v>
      </c>
      <c r="H31" s="55"/>
      <c r="I31" s="17"/>
      <c r="J31" s="123"/>
      <c r="K31" s="18"/>
      <c r="L31" s="17"/>
      <c r="M31" s="124"/>
      <c r="O31" s="109"/>
      <c r="P31" s="27"/>
      <c r="Q31" s="155"/>
      <c r="R31" s="1"/>
      <c r="S31" s="109"/>
      <c r="T31" s="79"/>
      <c r="U31" s="155"/>
      <c r="W31" s="109"/>
      <c r="X31" s="163" t="s">
        <v>83</v>
      </c>
      <c r="Y31" s="155">
        <f>V_FIELD_RATE_RQD*TOTAL_V_LINES*TOTAL_PIXELS/1000000</f>
        <v>577.5982</v>
      </c>
      <c r="AA31" s="2"/>
      <c r="AE31" s="1"/>
      <c r="BE31" s="17"/>
      <c r="BF31" s="79"/>
    </row>
    <row r="32" spans="1:58" ht="24.75" customHeight="1" hidden="1">
      <c r="A32" s="22"/>
      <c r="B32" s="23" t="s">
        <v>84</v>
      </c>
      <c r="C32" s="18"/>
      <c r="D32" s="17"/>
      <c r="E32" s="23">
        <f>(IF(INT_RQD?="y","FRAME RATE:",""))</f>
      </c>
      <c r="F32" s="24">
        <f>ACT_FRAME_RATE</f>
        <v>58.99997957057346</v>
      </c>
      <c r="G32" s="27" t="s">
        <v>35</v>
      </c>
      <c r="H32" s="56"/>
      <c r="I32" s="125">
        <f>(IF(INT_RQD?="y","FIELD RATE:",""))</f>
      </c>
      <c r="J32" s="56">
        <f>(IF(INT_RQD?="y",ACT_FIELD_RATE,""))</f>
      </c>
      <c r="K32" s="17">
        <f>(IF($K$11="y","Hz",""))</f>
      </c>
      <c r="L32" s="17"/>
      <c r="M32" s="124"/>
      <c r="O32" s="109">
        <f>O28+1</f>
        <v>7</v>
      </c>
      <c r="P32" s="120" t="s">
        <v>85</v>
      </c>
      <c r="Q32" s="155"/>
      <c r="R32" s="1"/>
      <c r="S32" s="109">
        <f>S29+1</f>
        <v>14</v>
      </c>
      <c r="T32" s="79" t="s">
        <v>68</v>
      </c>
      <c r="U32" s="155"/>
      <c r="W32" s="109"/>
      <c r="X32" s="17"/>
      <c r="Y32" s="160"/>
      <c r="AA32" s="2"/>
      <c r="AE32" s="1"/>
      <c r="BE32" s="17"/>
      <c r="BF32" s="79"/>
    </row>
    <row r="33" spans="1:58" ht="24.75" customHeight="1" hidden="1">
      <c r="A33" s="22"/>
      <c r="B33" s="23" t="s">
        <v>86</v>
      </c>
      <c r="C33" s="18"/>
      <c r="D33" s="17"/>
      <c r="E33" s="18"/>
      <c r="F33" s="24">
        <f>ACT_PIXEL_FREQ</f>
        <v>577.598</v>
      </c>
      <c r="G33" s="27" t="s">
        <v>87</v>
      </c>
      <c r="H33" s="55"/>
      <c r="I33" s="17"/>
      <c r="J33" s="68">
        <v>1</v>
      </c>
      <c r="K33" s="17" t="s">
        <v>73</v>
      </c>
      <c r="L33" s="17"/>
      <c r="M33" s="124"/>
      <c r="O33" s="103"/>
      <c r="P33" s="126" t="s">
        <v>88</v>
      </c>
      <c r="Q33" s="164">
        <f>(IF(INT_RQD?="y",0.5,0))</f>
        <v>0</v>
      </c>
      <c r="R33" s="1"/>
      <c r="S33" s="109"/>
      <c r="T33" s="79" t="s">
        <v>70</v>
      </c>
      <c r="U33" s="161">
        <f>TOTAL_ACTIVE_PIXELS+H_BLANK</f>
        <v>1240</v>
      </c>
      <c r="W33" s="109">
        <f>W29+1</f>
        <v>14</v>
      </c>
      <c r="X33" s="17" t="s">
        <v>89</v>
      </c>
      <c r="Y33" s="155"/>
      <c r="AA33" s="2"/>
      <c r="AE33" s="1"/>
      <c r="BE33" s="17"/>
      <c r="BF33" s="79"/>
    </row>
    <row r="34" spans="1:58" ht="24.75" customHeight="1" hidden="1">
      <c r="A34" s="22"/>
      <c r="B34" s="23" t="s">
        <v>90</v>
      </c>
      <c r="C34" s="18"/>
      <c r="D34" s="17"/>
      <c r="E34" s="18"/>
      <c r="F34" s="24">
        <f>CELL_GRAN_RND*1000/ACT_PIXEL_FREQ</f>
        <v>1.731307933891738</v>
      </c>
      <c r="G34" s="17" t="s">
        <v>91</v>
      </c>
      <c r="H34" s="55"/>
      <c r="I34" s="17"/>
      <c r="J34" s="68">
        <f>CELL_GRAN_RND</f>
        <v>1</v>
      </c>
      <c r="K34" s="17" t="s">
        <v>73</v>
      </c>
      <c r="L34" s="17"/>
      <c r="M34" s="124"/>
      <c r="O34" s="127"/>
      <c r="P34" s="128"/>
      <c r="Q34" s="165"/>
      <c r="R34" s="1"/>
      <c r="S34" s="109"/>
      <c r="T34" s="17"/>
      <c r="U34" s="155"/>
      <c r="W34" s="109"/>
      <c r="X34" s="79" t="s">
        <v>92</v>
      </c>
      <c r="Y34" s="155">
        <f>1000*ACT_PIXEL_FREQ/TOTAL_PIXELS</f>
        <v>465.8048387096774</v>
      </c>
      <c r="AA34" s="2"/>
      <c r="AE34" s="1"/>
      <c r="BE34" s="17"/>
      <c r="BF34" s="79"/>
    </row>
    <row r="35" spans="1:58" ht="24.75" customHeight="1" hidden="1">
      <c r="A35" s="22"/>
      <c r="B35" s="23" t="s">
        <v>93</v>
      </c>
      <c r="C35" s="18"/>
      <c r="D35" s="17"/>
      <c r="E35" s="18"/>
      <c r="F35" s="24" t="str">
        <f>(IF(INT_RQD?="y","INTERLACED","NON-INT"))</f>
        <v>NON-INT</v>
      </c>
      <c r="G35" s="27"/>
      <c r="H35" s="55"/>
      <c r="I35" s="129"/>
      <c r="J35" s="123"/>
      <c r="K35" s="129"/>
      <c r="L35" s="17"/>
      <c r="M35" s="124"/>
      <c r="O35" s="130" t="s">
        <v>94</v>
      </c>
      <c r="P35" s="94"/>
      <c r="Q35" s="153"/>
      <c r="R35" s="1"/>
      <c r="S35" s="166">
        <f>S32+1</f>
        <v>15</v>
      </c>
      <c r="T35" s="163" t="s">
        <v>76</v>
      </c>
      <c r="U35" s="160"/>
      <c r="W35" s="109"/>
      <c r="X35" s="17"/>
      <c r="Y35" s="160"/>
      <c r="AA35" s="2"/>
      <c r="AE35" s="1"/>
      <c r="BE35" s="17"/>
      <c r="BF35" s="79"/>
    </row>
    <row r="36" spans="1:58" ht="24.75" customHeight="1" hidden="1">
      <c r="A36" s="22"/>
      <c r="B36" s="23" t="s">
        <v>95</v>
      </c>
      <c r="C36" s="18"/>
      <c r="D36" s="17"/>
      <c r="E36" s="18"/>
      <c r="F36" s="57">
        <f>IF(F29=CELL_GRAN_RND*INT((F30*4/3)/CELL_GRAN_RND),"4:3","")&amp;IF(F29=CELL_GRAN_RND*INT((F30*16/9)/CELL_GRAN_RND),"16:9","")&amp;IF(F29=CELL_GRAN_RND*INT((F30*16/10)/CELL_GRAN_RND),"16:10","")&amp;IF(F29=CELL_GRAN_RND*INT((F30*5/4)/CELL_GRAN_RND),"5:4","")&amp;IF(F29=CELL_GRAN_RND*INT((F30*15/9)/CELL_GRAN_RND),"15:9","")</f>
      </c>
      <c r="G36" s="58"/>
      <c r="H36" s="54" t="str">
        <f>IF(ASPECT_RATIO="","WARNING! - Not Standard Aspect Ratio","")</f>
        <v>WARNING! - Not Standard Aspect Ratio</v>
      </c>
      <c r="I36" s="131"/>
      <c r="J36" s="123"/>
      <c r="K36" s="131"/>
      <c r="L36" s="17"/>
      <c r="M36" s="124"/>
      <c r="O36" s="132"/>
      <c r="P36" s="27"/>
      <c r="Q36" s="160"/>
      <c r="R36" s="1"/>
      <c r="S36" s="109"/>
      <c r="T36" s="163" t="str">
        <f>"Rounded down to "&amp;CLOCK_STEP&amp;"MHz ="</f>
        <v>Rounded down to 0.001MHz =</v>
      </c>
      <c r="U36" s="160">
        <f>CLOCK_STEP*ROUNDDOWN((TOTAL_PIXELS/H_PERIOD_EST)/CLOCK_STEP,0)</f>
        <v>577.543</v>
      </c>
      <c r="V36" s="79"/>
      <c r="W36" s="109">
        <f>W33+1</f>
        <v>15</v>
      </c>
      <c r="X36" s="163" t="s">
        <v>96</v>
      </c>
      <c r="Y36" s="160"/>
      <c r="AA36" s="2"/>
      <c r="AE36" s="1"/>
      <c r="BE36" s="17"/>
      <c r="BF36" s="79"/>
    </row>
    <row r="37" spans="1:58" ht="24.75" customHeight="1" hidden="1">
      <c r="A37" s="22"/>
      <c r="B37" s="23" t="s">
        <v>97</v>
      </c>
      <c r="C37" s="18"/>
      <c r="D37" s="17"/>
      <c r="E37" s="18"/>
      <c r="F37" s="57" t="str">
        <f>IF(RED_BLANK_RQD?="y","POSITIVE","NEGATIVE")</f>
        <v>POSITIVE</v>
      </c>
      <c r="G37" s="58"/>
      <c r="H37" s="54"/>
      <c r="I37" s="131"/>
      <c r="J37" s="123"/>
      <c r="K37" s="131"/>
      <c r="L37" s="17"/>
      <c r="M37" s="124"/>
      <c r="O37" s="132" t="s">
        <v>98</v>
      </c>
      <c r="P37" s="27"/>
      <c r="Q37" s="160"/>
      <c r="R37" s="1"/>
      <c r="S37" s="109"/>
      <c r="T37" s="163" t="s">
        <v>83</v>
      </c>
      <c r="U37" s="167">
        <f>TOTAL_PIXELS/H_PERIOD_EST</f>
        <v>577.5433258639475</v>
      </c>
      <c r="V37" s="79"/>
      <c r="W37" s="109"/>
      <c r="X37" s="79" t="s">
        <v>99</v>
      </c>
      <c r="Y37" s="155">
        <f>1000*ACT_H_FREQ/TOTAL_V_LINES</f>
        <v>58.99997957057346</v>
      </c>
      <c r="AA37" s="2"/>
      <c r="AE37" s="1"/>
      <c r="BE37" s="17"/>
      <c r="BF37" s="79"/>
    </row>
    <row r="38" spans="1:58" ht="24.75" customHeight="1" hidden="1">
      <c r="A38" s="22"/>
      <c r="B38" s="23" t="s">
        <v>100</v>
      </c>
      <c r="C38" s="18"/>
      <c r="D38" s="17"/>
      <c r="E38" s="18"/>
      <c r="F38" s="57" t="str">
        <f>IF(RED_BLANK_RQD?="y","NEGATIVE","POSITIVE")</f>
        <v>NEGATIVE</v>
      </c>
      <c r="G38" s="58"/>
      <c r="H38" s="54"/>
      <c r="I38" s="131"/>
      <c r="J38" s="123"/>
      <c r="K38" s="131"/>
      <c r="L38" s="17"/>
      <c r="M38" s="124"/>
      <c r="O38" s="132"/>
      <c r="P38" s="27" t="s">
        <v>101</v>
      </c>
      <c r="Q38" s="167">
        <f>IF(RED_BLANK_RQD?="Y",Y13,U13)</f>
        <v>2.147025070621469</v>
      </c>
      <c r="R38" s="1"/>
      <c r="S38" s="109"/>
      <c r="T38" s="17"/>
      <c r="U38" s="160"/>
      <c r="V38" s="79"/>
      <c r="W38" s="109"/>
      <c r="X38" s="17"/>
      <c r="Y38" s="160"/>
      <c r="AE38" s="1"/>
      <c r="BE38" s="17"/>
      <c r="BF38" s="79"/>
    </row>
    <row r="39" spans="1:58" ht="24.75" customHeight="1" hidden="1">
      <c r="A39" s="22"/>
      <c r="B39" s="59"/>
      <c r="C39" s="60"/>
      <c r="D39" s="61"/>
      <c r="E39" s="60"/>
      <c r="F39" s="62"/>
      <c r="G39" s="63"/>
      <c r="H39" s="64"/>
      <c r="I39" s="61"/>
      <c r="J39" s="64"/>
      <c r="K39" s="61"/>
      <c r="L39" s="61"/>
      <c r="M39" s="133"/>
      <c r="O39" s="132"/>
      <c r="P39" s="27"/>
      <c r="Q39" s="160"/>
      <c r="R39" s="1"/>
      <c r="S39" s="109">
        <f>S35+1</f>
        <v>16</v>
      </c>
      <c r="T39" s="17" t="s">
        <v>89</v>
      </c>
      <c r="U39" s="155"/>
      <c r="V39" s="79"/>
      <c r="W39" s="109">
        <f>W36+1</f>
        <v>16</v>
      </c>
      <c r="X39" s="79" t="s">
        <v>102</v>
      </c>
      <c r="Y39" s="155"/>
      <c r="AE39" s="1"/>
      <c r="BE39" s="17"/>
      <c r="BF39" s="79"/>
    </row>
    <row r="40" spans="1:58" ht="24.75" customHeight="1" hidden="1">
      <c r="A40" s="65"/>
      <c r="B40" s="66"/>
      <c r="C40" s="18"/>
      <c r="D40" s="17"/>
      <c r="E40" s="18"/>
      <c r="F40" s="24"/>
      <c r="G40" s="27"/>
      <c r="H40" s="55"/>
      <c r="I40" s="17"/>
      <c r="J40" s="123"/>
      <c r="K40" s="17"/>
      <c r="L40" s="17"/>
      <c r="M40" s="124"/>
      <c r="O40" s="132" t="s">
        <v>103</v>
      </c>
      <c r="P40" s="27"/>
      <c r="Q40" s="160"/>
      <c r="R40" s="1"/>
      <c r="S40" s="109"/>
      <c r="T40" s="79" t="s">
        <v>92</v>
      </c>
      <c r="U40" s="155">
        <f>1000*ACT_PIXEL_FREQ/TOTAL_PIXELS</f>
        <v>465.8048387096774</v>
      </c>
      <c r="W40" s="109"/>
      <c r="X40" s="79" t="s">
        <v>104</v>
      </c>
      <c r="Y40" s="155">
        <f>(IF(INT_RQD?="y",ACT_FIELD_RATE/2,ACT_FIELD_RATE))</f>
        <v>58.99997957057346</v>
      </c>
      <c r="AE40" s="1"/>
      <c r="BE40" s="17"/>
      <c r="BF40" s="79"/>
    </row>
    <row r="41" spans="1:58" ht="24.75" customHeight="1" hidden="1">
      <c r="A41" s="22"/>
      <c r="B41" s="23" t="s">
        <v>105</v>
      </c>
      <c r="C41" s="18"/>
      <c r="D41" s="17"/>
      <c r="E41" s="18"/>
      <c r="F41" s="24">
        <f>TOTAL_PIXELS/ACT_PIXEL_FREQ</f>
        <v>2.146821838025755</v>
      </c>
      <c r="G41" s="67" t="s">
        <v>106</v>
      </c>
      <c r="H41" s="68">
        <f>TOTAL_PIXELS/CELL_GRAN_RND</f>
        <v>1240</v>
      </c>
      <c r="I41" s="17" t="s">
        <v>107</v>
      </c>
      <c r="J41" s="56">
        <f>TOTAL_PIXELS</f>
        <v>1240</v>
      </c>
      <c r="K41" s="79" t="s">
        <v>73</v>
      </c>
      <c r="L41" s="134"/>
      <c r="M41" s="124"/>
      <c r="O41" s="132"/>
      <c r="P41" s="27" t="s">
        <v>108</v>
      </c>
      <c r="Q41" s="167">
        <f>IF(RED_BLANK_RQD?="y",Y34,U40)</f>
        <v>465.8048387096774</v>
      </c>
      <c r="R41" s="1"/>
      <c r="S41" s="109"/>
      <c r="T41" s="17"/>
      <c r="U41" s="160"/>
      <c r="W41" s="103"/>
      <c r="X41" s="157"/>
      <c r="Y41" s="169"/>
      <c r="AE41" s="1"/>
      <c r="BE41" s="17"/>
      <c r="BF41" s="79"/>
    </row>
    <row r="42" spans="1:58" ht="24.75" customHeight="1" hidden="1">
      <c r="A42" s="22"/>
      <c r="B42" s="23" t="s">
        <v>109</v>
      </c>
      <c r="C42" s="18"/>
      <c r="D42" s="17"/>
      <c r="E42" s="18"/>
      <c r="F42" s="24">
        <f>H_PIXELS_RND/ACT_PIXEL_FREQ</f>
        <v>1.869812568603077</v>
      </c>
      <c r="G42" s="67" t="s">
        <v>106</v>
      </c>
      <c r="H42" s="68">
        <f>H_PIXELS_RND/CELL_GRAN_RND</f>
        <v>1080</v>
      </c>
      <c r="I42" s="17" t="s">
        <v>107</v>
      </c>
      <c r="J42" s="56">
        <f>H_PIXELS_RND</f>
        <v>1080</v>
      </c>
      <c r="K42" s="79" t="s">
        <v>73</v>
      </c>
      <c r="L42" s="134"/>
      <c r="M42" s="124"/>
      <c r="O42" s="132" t="s">
        <v>110</v>
      </c>
      <c r="P42" s="27"/>
      <c r="Q42" s="167"/>
      <c r="R42" s="1"/>
      <c r="S42" s="109">
        <f>S39+1</f>
        <v>17</v>
      </c>
      <c r="T42" s="163" t="s">
        <v>96</v>
      </c>
      <c r="U42" s="160"/>
      <c r="AE42" s="1"/>
      <c r="BE42" s="17"/>
      <c r="BF42" s="79"/>
    </row>
    <row r="43" spans="1:58" ht="24.75" customHeight="1" hidden="1">
      <c r="A43" s="69"/>
      <c r="B43" s="70"/>
      <c r="C43" s="60"/>
      <c r="D43" s="61"/>
      <c r="E43" s="60"/>
      <c r="F43" s="62"/>
      <c r="G43" s="71"/>
      <c r="H43" s="72"/>
      <c r="I43" s="61"/>
      <c r="J43" s="80"/>
      <c r="K43" s="135"/>
      <c r="L43" s="136"/>
      <c r="M43" s="133"/>
      <c r="O43" s="132"/>
      <c r="P43" s="27" t="s">
        <v>111</v>
      </c>
      <c r="Q43" s="167">
        <f>IF(RED_BLANK_RQD?="y",Y37,U43)</f>
        <v>58.99997957057346</v>
      </c>
      <c r="R43" s="1"/>
      <c r="S43" s="109"/>
      <c r="T43" s="79" t="s">
        <v>99</v>
      </c>
      <c r="U43" s="155">
        <f>1000*ACT_H_FREQ/TOTAL_V_LINES</f>
        <v>58.99997957057346</v>
      </c>
      <c r="AE43" s="1"/>
      <c r="BE43" s="17"/>
      <c r="BF43" s="79"/>
    </row>
    <row r="44" spans="1:58" ht="24.75" customHeight="1" hidden="1">
      <c r="A44" s="65"/>
      <c r="B44" s="73"/>
      <c r="C44" s="74"/>
      <c r="D44" s="75"/>
      <c r="E44" s="74"/>
      <c r="F44" s="76"/>
      <c r="G44" s="77"/>
      <c r="H44" s="78"/>
      <c r="I44" s="75"/>
      <c r="J44" s="137"/>
      <c r="K44" s="138"/>
      <c r="L44" s="139"/>
      <c r="M44" s="140"/>
      <c r="O44" s="132"/>
      <c r="P44" s="27" t="s">
        <v>112</v>
      </c>
      <c r="Q44" s="167">
        <f>IF(RED_BLANK_RQD?="y",Y40,U46)</f>
        <v>58.99997957057346</v>
      </c>
      <c r="R44" s="1"/>
      <c r="S44" s="109"/>
      <c r="T44" s="17"/>
      <c r="U44" s="160"/>
      <c r="AD44" s="79"/>
      <c r="AE44" s="1"/>
      <c r="BE44" s="17"/>
      <c r="BF44" s="79"/>
    </row>
    <row r="45" spans="1:58" ht="24.75" customHeight="1" hidden="1">
      <c r="A45" s="22"/>
      <c r="B45" s="23" t="s">
        <v>113</v>
      </c>
      <c r="C45" s="18"/>
      <c r="D45" s="17"/>
      <c r="E45" s="18"/>
      <c r="F45" s="24">
        <f>H_BLANK/ACT_PIXEL_FREQ</f>
        <v>0.27700926942267806</v>
      </c>
      <c r="G45" s="67" t="s">
        <v>106</v>
      </c>
      <c r="H45" s="68">
        <f>H_BLANK/CELL_GRAN_RND</f>
        <v>160</v>
      </c>
      <c r="I45" s="17" t="s">
        <v>107</v>
      </c>
      <c r="J45" s="56">
        <f>H_BLANK</f>
        <v>160</v>
      </c>
      <c r="K45" s="79" t="s">
        <v>73</v>
      </c>
      <c r="L45" s="134"/>
      <c r="M45" s="124"/>
      <c r="O45" s="132" t="s">
        <v>114</v>
      </c>
      <c r="P45" s="27"/>
      <c r="Q45" s="167"/>
      <c r="R45" s="1"/>
      <c r="S45" s="109">
        <f>S42+1</f>
        <v>18</v>
      </c>
      <c r="T45" s="79" t="s">
        <v>102</v>
      </c>
      <c r="U45" s="155"/>
      <c r="AD45" s="79"/>
      <c r="AE45" s="1"/>
      <c r="BE45" s="17"/>
      <c r="BF45" s="79"/>
    </row>
    <row r="46" spans="1:58" ht="24.75" customHeight="1" hidden="1">
      <c r="A46" s="22"/>
      <c r="B46" s="23" t="s">
        <v>115</v>
      </c>
      <c r="C46" s="18"/>
      <c r="D46" s="17"/>
      <c r="E46" s="18"/>
      <c r="F46" s="24">
        <f>(H_BLANK+LEFT_MARGIN+RIGHT_MARGIN)/ACT_PIXEL_FREQ</f>
        <v>0.27700926942267806</v>
      </c>
      <c r="G46" s="67" t="s">
        <v>106</v>
      </c>
      <c r="H46" s="68">
        <f>(H_BLANK+LEFT_MARGIN+RIGHT_MARGIN)/CELL_GRAN_RND</f>
        <v>160</v>
      </c>
      <c r="I46" s="17" t="s">
        <v>107</v>
      </c>
      <c r="J46" s="56">
        <f>H_BLANK+LEFT_MARGIN+RIGHT_MARGIN</f>
        <v>160</v>
      </c>
      <c r="K46" s="79" t="s">
        <v>73</v>
      </c>
      <c r="L46" s="134"/>
      <c r="M46" s="124"/>
      <c r="O46" s="132"/>
      <c r="P46" s="27" t="s">
        <v>116</v>
      </c>
      <c r="Q46" s="167">
        <f>IF(RED_BLANK_RQD?="y",Y30,U36)</f>
        <v>577.598</v>
      </c>
      <c r="R46" s="1"/>
      <c r="S46" s="109"/>
      <c r="T46" s="79" t="s">
        <v>104</v>
      </c>
      <c r="U46" s="155">
        <f>(IF(INT_RQD?="y",ACT_FIELD_RATE/2,ACT_FIELD_RATE))</f>
        <v>58.99997957057346</v>
      </c>
      <c r="X46" s="25"/>
      <c r="AE46" s="1"/>
      <c r="BE46" s="17"/>
      <c r="BF46" s="79"/>
    </row>
    <row r="47" spans="1:58" ht="24.75" customHeight="1" hidden="1">
      <c r="A47" s="22"/>
      <c r="B47" s="23" t="s">
        <v>117</v>
      </c>
      <c r="C47" s="18"/>
      <c r="D47" s="17"/>
      <c r="E47" s="18"/>
      <c r="F47" s="24">
        <f>IDEAL_DUTY_CYCLE</f>
        <v>29.35589247881356</v>
      </c>
      <c r="G47" s="67" t="s">
        <v>118</v>
      </c>
      <c r="H47" s="56"/>
      <c r="I47" s="79"/>
      <c r="J47" s="123"/>
      <c r="K47" s="17"/>
      <c r="L47" s="17"/>
      <c r="M47" s="124"/>
      <c r="O47" s="109"/>
      <c r="P47" s="27"/>
      <c r="Q47" s="168"/>
      <c r="R47" s="1"/>
      <c r="S47" s="103"/>
      <c r="T47" s="157"/>
      <c r="U47" s="169"/>
      <c r="AE47" s="1"/>
      <c r="AP47" s="17"/>
      <c r="BE47" s="17"/>
      <c r="BF47" s="79"/>
    </row>
    <row r="48" spans="1:58" ht="24.75" customHeight="1" hidden="1">
      <c r="A48" s="22"/>
      <c r="B48" s="23"/>
      <c r="C48" s="25" t="s">
        <v>119</v>
      </c>
      <c r="D48" s="79"/>
      <c r="E48" s="25"/>
      <c r="F48" s="24"/>
      <c r="G48" s="67"/>
      <c r="H48" s="56"/>
      <c r="I48" s="79"/>
      <c r="J48" s="123"/>
      <c r="K48" s="79"/>
      <c r="L48" s="17"/>
      <c r="M48" s="124"/>
      <c r="O48" s="132" t="s">
        <v>120</v>
      </c>
      <c r="P48" s="27"/>
      <c r="Q48" s="168"/>
      <c r="R48" s="1"/>
      <c r="S48" s="3"/>
      <c r="AE48" s="1"/>
      <c r="AP48" s="17"/>
      <c r="BE48" s="17"/>
      <c r="BF48" s="79"/>
    </row>
    <row r="49" spans="1:58" ht="24.75" customHeight="1" hidden="1">
      <c r="A49" s="22"/>
      <c r="B49" s="23" t="s">
        <v>121</v>
      </c>
      <c r="C49" s="18"/>
      <c r="D49" s="17"/>
      <c r="E49" s="18"/>
      <c r="F49" s="24">
        <f>H_BLANK/TOTAL_PIXELS*100</f>
        <v>12.903225806451612</v>
      </c>
      <c r="G49" s="67" t="s">
        <v>118</v>
      </c>
      <c r="H49" s="56"/>
      <c r="I49" s="79"/>
      <c r="J49" s="123"/>
      <c r="K49" s="17"/>
      <c r="L49" s="17"/>
      <c r="M49" s="124"/>
      <c r="O49" s="132"/>
      <c r="P49" s="27" t="s">
        <v>122</v>
      </c>
      <c r="Q49" s="168">
        <f>IF(RED_BLANK_RQD?="Y",Y27,U33)</f>
        <v>1240</v>
      </c>
      <c r="R49" s="1"/>
      <c r="S49" s="3"/>
      <c r="V49" s="79"/>
      <c r="AE49" s="1"/>
      <c r="AP49" s="17"/>
      <c r="BE49" s="17"/>
      <c r="BF49" s="79"/>
    </row>
    <row r="50" spans="1:58" ht="24.75" customHeight="1" hidden="1">
      <c r="A50" s="22"/>
      <c r="B50" s="23" t="s">
        <v>123</v>
      </c>
      <c r="C50" s="18"/>
      <c r="D50" s="17"/>
      <c r="E50" s="18"/>
      <c r="F50" s="24">
        <f>(H_BLANK+LEFT_MARGIN+RIGHT_MARGIN)/TOTAL_PIXELS*100</f>
        <v>12.903225806451612</v>
      </c>
      <c r="G50" s="67" t="s">
        <v>118</v>
      </c>
      <c r="H50" s="56"/>
      <c r="I50" s="79"/>
      <c r="J50" s="123"/>
      <c r="K50" s="17"/>
      <c r="L50" s="17"/>
      <c r="M50" s="124"/>
      <c r="O50" s="132" t="s">
        <v>124</v>
      </c>
      <c r="P50" s="27"/>
      <c r="Q50" s="168"/>
      <c r="R50" s="1"/>
      <c r="S50" s="3"/>
      <c r="V50" s="79"/>
      <c r="AE50" s="1"/>
      <c r="AP50" s="17"/>
      <c r="BE50" s="17"/>
      <c r="BF50" s="79"/>
    </row>
    <row r="51" spans="1:58" ht="24.75" customHeight="1" hidden="1">
      <c r="A51" s="22"/>
      <c r="B51" s="23" t="s">
        <v>125</v>
      </c>
      <c r="C51" s="18"/>
      <c r="D51" s="17"/>
      <c r="E51" s="18"/>
      <c r="F51" s="24">
        <f>LEFT_MARGIN/ACT_PIXEL_FREQ</f>
        <v>0</v>
      </c>
      <c r="G51" s="67" t="s">
        <v>106</v>
      </c>
      <c r="H51" s="68">
        <f>LEFT_MARGIN/CELL_GRAN_RND</f>
        <v>0</v>
      </c>
      <c r="I51" s="17" t="s">
        <v>107</v>
      </c>
      <c r="J51" s="56">
        <f>LEFT_MARGIN</f>
        <v>0</v>
      </c>
      <c r="K51" s="79" t="s">
        <v>73</v>
      </c>
      <c r="L51" s="79"/>
      <c r="M51" s="124"/>
      <c r="O51" s="132"/>
      <c r="P51" s="27" t="s">
        <v>126</v>
      </c>
      <c r="Q51" s="168">
        <f>IF(RED_BLANK_RQD?="Y",Y10,U30)</f>
        <v>160</v>
      </c>
      <c r="R51" s="1"/>
      <c r="S51" s="3"/>
      <c r="AE51" s="1"/>
      <c r="AP51" s="17"/>
      <c r="BE51" s="17"/>
      <c r="BF51" s="79"/>
    </row>
    <row r="52" spans="1:42" ht="24.75" customHeight="1" hidden="1">
      <c r="A52" s="22"/>
      <c r="B52" s="23" t="s">
        <v>127</v>
      </c>
      <c r="C52" s="18"/>
      <c r="D52" s="17"/>
      <c r="E52" s="18"/>
      <c r="F52" s="24">
        <f>H_FRONT_PORCH/ACT_PIXEL_FREQ</f>
        <v>0.08310278082680342</v>
      </c>
      <c r="G52" s="67" t="s">
        <v>106</v>
      </c>
      <c r="H52" s="68">
        <f>H_FRONT_PORCH/CELL_GRAN_RND</f>
        <v>48</v>
      </c>
      <c r="I52" s="17" t="s">
        <v>107</v>
      </c>
      <c r="J52" s="56">
        <f>H_FRONT_PORCH</f>
        <v>48</v>
      </c>
      <c r="K52" s="79" t="s">
        <v>73</v>
      </c>
      <c r="L52" s="79"/>
      <c r="M52" s="124"/>
      <c r="O52" s="132" t="s">
        <v>128</v>
      </c>
      <c r="P52" s="27"/>
      <c r="Q52" s="168"/>
      <c r="R52" s="1"/>
      <c r="S52" s="3"/>
      <c r="V52" s="79"/>
      <c r="AE52" s="1"/>
      <c r="AN52" s="17"/>
      <c r="AO52" s="17"/>
      <c r="AP52" s="17"/>
    </row>
    <row r="53" spans="1:42" ht="24.75" customHeight="1" hidden="1">
      <c r="A53" s="22"/>
      <c r="B53" s="23" t="s">
        <v>129</v>
      </c>
      <c r="C53" s="18"/>
      <c r="D53" s="17"/>
      <c r="E53" s="18"/>
      <c r="F53" s="24">
        <f>H_SYNC_RND/ACT_PIXEL_FREQ</f>
        <v>0.05540185388453561</v>
      </c>
      <c r="G53" s="67" t="s">
        <v>106</v>
      </c>
      <c r="H53" s="68">
        <f>H_SYNC_RND/CELL_GRAN_RND</f>
        <v>32</v>
      </c>
      <c r="I53" s="17" t="s">
        <v>107</v>
      </c>
      <c r="J53" s="56">
        <f>H_SYNC_RND</f>
        <v>32</v>
      </c>
      <c r="K53" s="79" t="s">
        <v>73</v>
      </c>
      <c r="L53" s="79"/>
      <c r="M53" s="124"/>
      <c r="O53" s="132"/>
      <c r="P53" s="27" t="s">
        <v>130</v>
      </c>
      <c r="Q53" s="168">
        <f>H_BLANK-H_BACK_PORCH-H_SYNC_RND</f>
        <v>48</v>
      </c>
      <c r="R53" s="1"/>
      <c r="S53" s="3"/>
      <c r="AE53" s="1"/>
      <c r="AN53" s="17"/>
      <c r="AO53" s="17"/>
      <c r="AP53" s="17"/>
    </row>
    <row r="54" spans="1:42" ht="24.75" customHeight="1" hidden="1">
      <c r="A54" s="22"/>
      <c r="B54" s="23" t="s">
        <v>131</v>
      </c>
      <c r="C54" s="18"/>
      <c r="D54" s="17"/>
      <c r="E54" s="18"/>
      <c r="F54" s="24">
        <f>H_BACK_PORCH/ACT_PIXEL_FREQ</f>
        <v>0.13850463471133903</v>
      </c>
      <c r="G54" s="67" t="s">
        <v>106</v>
      </c>
      <c r="H54" s="68">
        <f>H_BACK_PORCH/CELL_GRAN_RND</f>
        <v>80</v>
      </c>
      <c r="I54" s="17" t="s">
        <v>107</v>
      </c>
      <c r="J54" s="56">
        <f>H_BACK_PORCH</f>
        <v>80</v>
      </c>
      <c r="K54" s="79" t="s">
        <v>73</v>
      </c>
      <c r="L54" s="79"/>
      <c r="M54" s="124"/>
      <c r="O54" s="132" t="s">
        <v>132</v>
      </c>
      <c r="P54" s="27"/>
      <c r="Q54" s="168"/>
      <c r="R54" s="1"/>
      <c r="S54" s="3"/>
      <c r="V54" s="79"/>
      <c r="AE54" s="1"/>
      <c r="AN54" s="17"/>
      <c r="AO54" s="17"/>
      <c r="AP54" s="17"/>
    </row>
    <row r="55" spans="1:42" ht="24.75" customHeight="1" hidden="1">
      <c r="A55" s="22"/>
      <c r="B55" s="23" t="s">
        <v>133</v>
      </c>
      <c r="C55" s="18"/>
      <c r="D55" s="17"/>
      <c r="E55" s="18"/>
      <c r="F55" s="24">
        <f>RIGHT_MARGIN/ACT_PIXEL_FREQ</f>
        <v>0</v>
      </c>
      <c r="G55" s="67" t="s">
        <v>106</v>
      </c>
      <c r="H55" s="68">
        <f>RIGHT_MARGIN/CELL_GRAN_RND</f>
        <v>0</v>
      </c>
      <c r="I55" s="17" t="s">
        <v>107</v>
      </c>
      <c r="J55" s="56">
        <f>RIGHT_MARGIN</f>
        <v>0</v>
      </c>
      <c r="K55" s="79" t="s">
        <v>73</v>
      </c>
      <c r="L55" s="79"/>
      <c r="M55" s="124"/>
      <c r="O55" s="132"/>
      <c r="P55" s="27" t="s">
        <v>134</v>
      </c>
      <c r="Q55" s="168">
        <f>IF(RED_BLANK_RQD?="Y",Y9,(ROUNDDOWN((H_SYNC_PER/100*TOTAL_PIXELS/CELL_GRAN_RND),0))*CELL_GRAN_RND)</f>
        <v>32</v>
      </c>
      <c r="R55" s="1"/>
      <c r="S55" s="3"/>
      <c r="V55" s="79"/>
      <c r="AE55" s="1"/>
      <c r="AN55" s="17"/>
      <c r="AO55" s="17"/>
      <c r="AP55" s="17"/>
    </row>
    <row r="56" spans="1:42" ht="24.75" customHeight="1" hidden="1">
      <c r="A56" s="69"/>
      <c r="B56" s="70"/>
      <c r="C56" s="60"/>
      <c r="D56" s="61"/>
      <c r="E56" s="60"/>
      <c r="F56" s="62"/>
      <c r="G56" s="71"/>
      <c r="H56" s="80"/>
      <c r="I56" s="135"/>
      <c r="J56" s="141"/>
      <c r="K56" s="61"/>
      <c r="L56" s="61"/>
      <c r="M56" s="133"/>
      <c r="O56" s="132" t="s">
        <v>135</v>
      </c>
      <c r="P56" s="27"/>
      <c r="Q56" s="168"/>
      <c r="R56" s="1"/>
      <c r="S56" s="3"/>
      <c r="V56" s="79"/>
      <c r="AE56" s="1"/>
      <c r="AN56" s="17"/>
      <c r="AO56" s="17"/>
      <c r="AP56" s="17"/>
    </row>
    <row r="57" spans="1:42" ht="24.75" customHeight="1" hidden="1">
      <c r="A57" s="22"/>
      <c r="B57" s="23"/>
      <c r="C57" s="18"/>
      <c r="D57" s="17"/>
      <c r="E57" s="18"/>
      <c r="F57" s="24">
        <f>(IF(INT_RQD?="y","PER FRAME",""))</f>
      </c>
      <c r="G57" s="81"/>
      <c r="H57" s="82">
        <f>(IF(INT_RQD?="y","PER FIELD",""))</f>
      </c>
      <c r="I57" s="81"/>
      <c r="J57" s="142">
        <f>(IF(INT_RQD?="y","PER FRAME",""))</f>
      </c>
      <c r="K57" s="101"/>
      <c r="L57" s="143">
        <f>(IF(INT_RQD?="y","PER FIELD",""))</f>
      </c>
      <c r="M57" s="144"/>
      <c r="O57" s="132"/>
      <c r="P57" s="27" t="s">
        <v>136</v>
      </c>
      <c r="Q57" s="168">
        <f>H_BLANK/2</f>
        <v>80</v>
      </c>
      <c r="R57" s="1"/>
      <c r="S57" s="3"/>
      <c r="T57" s="17"/>
      <c r="U57" s="17"/>
      <c r="V57" s="79"/>
      <c r="AE57" s="1"/>
      <c r="AN57" s="17"/>
      <c r="AO57" s="17"/>
      <c r="AP57" s="17"/>
    </row>
    <row r="58" spans="1:42" ht="24.75" customHeight="1" hidden="1">
      <c r="A58" s="22"/>
      <c r="B58" s="23" t="s">
        <v>137</v>
      </c>
      <c r="C58" s="18"/>
      <c r="D58" s="17"/>
      <c r="E58" s="18"/>
      <c r="F58" s="24">
        <f>IF(INT_RQD?="y",2,1)*TOTAL_V_LINES/ACT_H_FREQ</f>
        <v>16.949158411213336</v>
      </c>
      <c r="G58" s="67" t="s">
        <v>138</v>
      </c>
      <c r="H58" s="83">
        <f>IF(INT_RQD?="y",TOTAL_V_LINES/ACT_H_FREQ,"")</f>
      </c>
      <c r="I58" s="67">
        <f>IF(INT_RQD?="y","ms","")</f>
      </c>
      <c r="J58" s="145">
        <f>IF(INT_RQD?="y",2,1)*TOTAL_V_LINES</f>
        <v>7895</v>
      </c>
      <c r="K58" s="146" t="s">
        <v>78</v>
      </c>
      <c r="L58" s="145">
        <f>IF(INT_RQD?="y",TOTAL_V_LINES,"")</f>
      </c>
      <c r="M58" s="105">
        <f>(IF(INT_RQD?="y","LINES",""))</f>
      </c>
      <c r="O58" s="109"/>
      <c r="P58" s="27"/>
      <c r="Q58" s="168"/>
      <c r="R58" s="1"/>
      <c r="S58" s="3"/>
      <c r="T58" s="17"/>
      <c r="U58" s="17"/>
      <c r="AE58" s="1"/>
      <c r="AN58" s="17"/>
      <c r="AO58" s="17"/>
      <c r="AP58" s="17"/>
    </row>
    <row r="59" spans="1:42" ht="24.75" customHeight="1" hidden="1">
      <c r="A59" s="22"/>
      <c r="B59" s="23" t="s">
        <v>139</v>
      </c>
      <c r="C59" s="18"/>
      <c r="D59" s="17"/>
      <c r="E59" s="18"/>
      <c r="F59" s="24">
        <f>IF(INT_RQD?="y",2,1)*V_LINES_RND/ACT_H_FREQ</f>
        <v>16.487591716037798</v>
      </c>
      <c r="G59" s="67" t="s">
        <v>138</v>
      </c>
      <c r="H59" s="83">
        <f>IF(INT_RQD?="y",V_LINES_RND/ACT_H_FREQ,"")</f>
      </c>
      <c r="I59" s="67">
        <f>IF(INT_RQD?="y","ms","")</f>
      </c>
      <c r="J59" s="145">
        <f>IF(INT_RQD?="y",2*V_LINES_RND,V_LINES_RND)</f>
        <v>7680</v>
      </c>
      <c r="K59" s="146" t="s">
        <v>78</v>
      </c>
      <c r="L59" s="145">
        <f>IF(INT_RQD?="y",V_LINES_RND,"")</f>
      </c>
      <c r="M59" s="105">
        <f>(IF(INT_RQD?="y","LINES",""))</f>
      </c>
      <c r="O59" s="132" t="s">
        <v>140</v>
      </c>
      <c r="P59" s="27"/>
      <c r="Q59" s="168"/>
      <c r="R59" s="1"/>
      <c r="S59" s="3"/>
      <c r="T59" s="17"/>
      <c r="U59" s="17"/>
      <c r="AE59" s="1"/>
      <c r="AN59" s="17"/>
      <c r="AO59" s="17"/>
      <c r="AP59" s="17"/>
    </row>
    <row r="60" spans="1:42" ht="24.75" customHeight="1" hidden="1">
      <c r="A60" s="69"/>
      <c r="B60" s="70"/>
      <c r="C60" s="60"/>
      <c r="D60" s="61"/>
      <c r="E60" s="60"/>
      <c r="F60" s="62"/>
      <c r="G60" s="71"/>
      <c r="H60" s="84"/>
      <c r="I60" s="71"/>
      <c r="J60" s="147"/>
      <c r="K60" s="148"/>
      <c r="L60" s="147"/>
      <c r="M60" s="149"/>
      <c r="O60" s="132"/>
      <c r="P60" s="27" t="s">
        <v>141</v>
      </c>
      <c r="Q60" s="170">
        <f>IF(RED_BLANK_RQD?="Y",Y24,U24)</f>
        <v>7895</v>
      </c>
      <c r="R60" s="1"/>
      <c r="S60" s="3"/>
      <c r="T60" s="17"/>
      <c r="U60" s="17"/>
      <c r="AE60" s="1"/>
      <c r="AN60" s="17"/>
      <c r="AO60" s="17"/>
      <c r="AP60" s="17"/>
    </row>
    <row r="61" spans="1:42" ht="24.75" customHeight="1" hidden="1">
      <c r="A61" s="65"/>
      <c r="B61" s="73"/>
      <c r="C61" s="74"/>
      <c r="D61" s="75"/>
      <c r="E61" s="74"/>
      <c r="F61" s="76">
        <f>(IF(INT_RQD?="y","ODD FIELD",""))</f>
      </c>
      <c r="G61" s="85"/>
      <c r="H61" s="86">
        <f>(IF(INT_RQD?="y","EVEN FIELD",""))</f>
      </c>
      <c r="I61" s="85"/>
      <c r="J61" s="150">
        <f>(IF(INT_RQD?="y","ODD FIELD",""))</f>
      </c>
      <c r="K61" s="151"/>
      <c r="L61" s="150">
        <f>(IF(INT_RQD?="y","EVEN FIELD",""))</f>
      </c>
      <c r="M61" s="152"/>
      <c r="O61" s="132" t="s">
        <v>142</v>
      </c>
      <c r="P61" s="27"/>
      <c r="Q61" s="170"/>
      <c r="R61" s="1"/>
      <c r="S61" s="3"/>
      <c r="T61" s="17"/>
      <c r="U61" s="17"/>
      <c r="V61" s="79"/>
      <c r="AE61" s="1"/>
      <c r="AN61" s="17"/>
      <c r="AO61" s="17"/>
      <c r="AP61" s="17"/>
    </row>
    <row r="62" spans="1:42" ht="24.75" customHeight="1" hidden="1">
      <c r="A62" s="22"/>
      <c r="B62" s="23" t="s">
        <v>143</v>
      </c>
      <c r="C62" s="18"/>
      <c r="D62" s="17"/>
      <c r="E62" s="18"/>
      <c r="F62" s="24">
        <f>V_BLANK/ACT_H_FREQ</f>
        <v>0.4615666951755373</v>
      </c>
      <c r="G62" s="67" t="s">
        <v>138</v>
      </c>
      <c r="H62" s="87">
        <f>IF(INT_RQD?="y",(V_BLANK+(2*INTERLACE))/ACT_H_FREQ,"")</f>
      </c>
      <c r="I62" s="67">
        <f>(IF(INT_RQD?="y","ms",""))</f>
      </c>
      <c r="J62" s="145">
        <f>V_BLANK</f>
        <v>215</v>
      </c>
      <c r="K62" s="146" t="s">
        <v>78</v>
      </c>
      <c r="L62" s="145">
        <f>IF(INT_RQD?="y",V_BLANK+(2*INTERLACE),"")</f>
      </c>
      <c r="M62" s="105">
        <f aca="true" t="shared" si="0" ref="M62:M67">(IF(INT_RQD?="y","LINES",""))</f>
      </c>
      <c r="O62" s="132"/>
      <c r="P62" s="27" t="s">
        <v>144</v>
      </c>
      <c r="Q62" s="168">
        <f>IF(RED_BLANK_RQD?="y",ACT_VBI_LINES,V_SYNC_BP+MIN_V_PORCH_RND)</f>
        <v>215</v>
      </c>
      <c r="R62" s="1"/>
      <c r="S62" s="3"/>
      <c r="T62" s="17"/>
      <c r="U62" s="17"/>
      <c r="V62" s="79"/>
      <c r="W62" s="156"/>
      <c r="AE62" s="1"/>
      <c r="AN62" s="17"/>
      <c r="AO62" s="17"/>
      <c r="AP62" s="17"/>
    </row>
    <row r="63" spans="1:42" ht="24.75" customHeight="1" hidden="1">
      <c r="A63" s="22"/>
      <c r="B63" s="23" t="s">
        <v>145</v>
      </c>
      <c r="C63" s="18"/>
      <c r="D63" s="17"/>
      <c r="E63" s="18"/>
      <c r="F63" s="24">
        <f>1000*TOP_MARGIN/ACT_H_FREQ</f>
        <v>0</v>
      </c>
      <c r="G63" s="67" t="s">
        <v>106</v>
      </c>
      <c r="H63" s="83">
        <f>(IF(INT_RQD?="y",1000*TOP_MARGIN/ACT_H_FREQ,""))</f>
      </c>
      <c r="I63" s="67">
        <f>(IF(INT_RQD?="y","us",""))</f>
      </c>
      <c r="J63" s="145">
        <f>TOP_MARGIN</f>
        <v>0</v>
      </c>
      <c r="K63" s="146" t="s">
        <v>78</v>
      </c>
      <c r="L63" s="145">
        <f>(IF(INT_RQD?="y",TOP_MARGIN,""))</f>
      </c>
      <c r="M63" s="105">
        <f t="shared" si="0"/>
      </c>
      <c r="O63" s="132" t="s">
        <v>146</v>
      </c>
      <c r="P63" s="27"/>
      <c r="Q63" s="168"/>
      <c r="R63" s="1"/>
      <c r="S63" s="3"/>
      <c r="T63" s="17"/>
      <c r="U63" s="17"/>
      <c r="V63" s="79"/>
      <c r="W63" s="156"/>
      <c r="AE63" s="1"/>
      <c r="AN63" s="17"/>
      <c r="AO63" s="17"/>
      <c r="AP63" s="17"/>
    </row>
    <row r="64" spans="1:42" ht="24.75" customHeight="1" hidden="1">
      <c r="A64" s="22"/>
      <c r="B64" s="23" t="s">
        <v>147</v>
      </c>
      <c r="C64" s="18"/>
      <c r="D64" s="17"/>
      <c r="E64" s="18"/>
      <c r="F64" s="24">
        <f>1000*(V_FRONT_PORCH+INTERLACE)/ACT_H_FREQ</f>
        <v>49.37690227459236</v>
      </c>
      <c r="G64" s="67" t="s">
        <v>106</v>
      </c>
      <c r="H64" s="83">
        <f>IF(INT_RQD?="y",1000*V_FRONT_PORCH/ACT_H_FREQ,"")</f>
      </c>
      <c r="I64" s="67">
        <f>(IF(INT_RQD?="y","us",""))</f>
      </c>
      <c r="J64" s="145">
        <f>V_FRONT_PORCH+INTERLACE</f>
        <v>23</v>
      </c>
      <c r="K64" s="146" t="s">
        <v>78</v>
      </c>
      <c r="L64" s="145">
        <f>IF(INT_RQD?="y",V_FRONT_PORCH,"")</f>
      </c>
      <c r="M64" s="105">
        <f t="shared" si="0"/>
      </c>
      <c r="O64" s="132"/>
      <c r="P64" s="27" t="s">
        <v>148</v>
      </c>
      <c r="Q64" s="168">
        <f>IF(RED_BLANK_RQD?="y",RB_V_FPORCH,MIN_V_PORCH_RND)</f>
        <v>23</v>
      </c>
      <c r="R64" s="1"/>
      <c r="S64" s="3"/>
      <c r="T64" s="17"/>
      <c r="U64" s="17"/>
      <c r="V64" s="79"/>
      <c r="W64" s="156"/>
      <c r="AE64" s="1"/>
      <c r="AN64" s="17"/>
      <c r="AO64" s="17"/>
      <c r="AP64" s="17"/>
    </row>
    <row r="65" spans="1:42" ht="24.75" customHeight="1" hidden="1">
      <c r="A65" s="22"/>
      <c r="B65" s="23" t="s">
        <v>149</v>
      </c>
      <c r="C65" s="18"/>
      <c r="D65" s="17"/>
      <c r="E65" s="18"/>
      <c r="F65" s="24">
        <f>1000*V_SYNC_RND/ACT_H_FREQ</f>
        <v>21.46821838025755</v>
      </c>
      <c r="G65" s="67" t="s">
        <v>106</v>
      </c>
      <c r="H65" s="87">
        <f>IF(INT_RQD?="y",1000*V_SYNC_RND/ACT_H_FREQ,"")</f>
      </c>
      <c r="I65" s="67">
        <f>(IF(INT_RQD?="y","us",""))</f>
      </c>
      <c r="J65" s="145">
        <f>V_SYNC_RND</f>
        <v>10</v>
      </c>
      <c r="K65" s="146" t="s">
        <v>78</v>
      </c>
      <c r="L65" s="145">
        <f>IF(INT_RQD?="y",V_SYNC_RND,"")</f>
      </c>
      <c r="M65" s="105">
        <f t="shared" si="0"/>
      </c>
      <c r="O65" s="132" t="s">
        <v>150</v>
      </c>
      <c r="P65" s="27"/>
      <c r="Q65" s="168"/>
      <c r="R65" s="1"/>
      <c r="S65" s="3"/>
      <c r="T65" s="17"/>
      <c r="U65" s="17"/>
      <c r="AE65" s="1"/>
      <c r="AN65" s="17"/>
      <c r="AO65" s="17"/>
      <c r="AP65" s="17"/>
    </row>
    <row r="66" spans="1:42" ht="24.75" customHeight="1" hidden="1">
      <c r="A66" s="22"/>
      <c r="B66" s="23" t="s">
        <v>151</v>
      </c>
      <c r="C66" s="18"/>
      <c r="D66" s="17"/>
      <c r="E66" s="18"/>
      <c r="F66" s="24">
        <f>1000*V_BACK_PORCH/ACT_H_FREQ</f>
        <v>390.7215745206874</v>
      </c>
      <c r="G66" s="67" t="s">
        <v>106</v>
      </c>
      <c r="H66" s="83">
        <f>IF(INT_RQD?="y",1000*(V_BACK_PORCH+INTERLACE)/ACT_H_FREQ,"")</f>
      </c>
      <c r="I66" s="67">
        <f>(IF(INT_RQD?="y","us",""))</f>
      </c>
      <c r="J66" s="145">
        <f>V_BACK_PORCH</f>
        <v>182</v>
      </c>
      <c r="K66" s="146" t="s">
        <v>78</v>
      </c>
      <c r="L66" s="145">
        <f>IF(INT_RQD?="y",V_BACK_PORCH+INTERLACE,"")</f>
      </c>
      <c r="M66" s="105">
        <f t="shared" si="0"/>
      </c>
      <c r="O66" s="132"/>
      <c r="P66" s="27" t="s">
        <v>152</v>
      </c>
      <c r="Q66" s="168">
        <f>INT(V_SYNC)</f>
        <v>10</v>
      </c>
      <c r="R66" s="1"/>
      <c r="S66" s="3"/>
      <c r="V66" s="17"/>
      <c r="AE66" s="1"/>
      <c r="AN66" s="17"/>
      <c r="AO66" s="17"/>
      <c r="AP66" s="17"/>
    </row>
    <row r="67" spans="1:42" ht="24.75" customHeight="1" hidden="1">
      <c r="A67" s="22"/>
      <c r="B67" s="23" t="s">
        <v>153</v>
      </c>
      <c r="C67" s="18"/>
      <c r="D67" s="17"/>
      <c r="E67" s="18"/>
      <c r="F67" s="24">
        <f>1000*BOT_MARGIN/ACT_H_FREQ</f>
        <v>0</v>
      </c>
      <c r="G67" s="67" t="s">
        <v>106</v>
      </c>
      <c r="H67" s="83">
        <f>(IF(INT_RQD?="y",1000*BOT_MARGIN/ACT_H_FREQ,""))</f>
      </c>
      <c r="I67" s="67">
        <f>(IF(INT_RQD?="y","us",""))</f>
      </c>
      <c r="J67" s="145">
        <f>BOT_MARGIN</f>
        <v>0</v>
      </c>
      <c r="K67" s="146" t="s">
        <v>78</v>
      </c>
      <c r="L67" s="145">
        <f>(IF(INT_RQD?="y",BOT_MARGIN,""))</f>
      </c>
      <c r="M67" s="105">
        <f t="shared" si="0"/>
      </c>
      <c r="O67" s="132" t="s">
        <v>154</v>
      </c>
      <c r="P67" s="27"/>
      <c r="Q67" s="168"/>
      <c r="R67" s="1"/>
      <c r="S67" s="3"/>
      <c r="V67" s="17"/>
      <c r="AE67" s="1"/>
      <c r="AN67" s="17"/>
      <c r="AO67" s="17"/>
      <c r="AP67" s="17"/>
    </row>
    <row r="68" spans="1:42" ht="24.75" customHeight="1" hidden="1">
      <c r="A68" s="41"/>
      <c r="B68" s="115"/>
      <c r="C68" s="183">
        <f>IF(B39="","","NOTE: ANY RESULT IN RED PARENTHESIS INDICATES AN ERROR: SOLUTION NOT POSSIBLE WITH GIVEN INPUTS REQUIREMENTS")</f>
      </c>
      <c r="D68" s="44"/>
      <c r="E68" s="43"/>
      <c r="F68" s="184"/>
      <c r="G68" s="185"/>
      <c r="H68" s="44"/>
      <c r="I68" s="44"/>
      <c r="J68" s="43"/>
      <c r="K68" s="44"/>
      <c r="L68" s="44"/>
      <c r="M68" s="117"/>
      <c r="O68" s="132"/>
      <c r="P68" s="27" t="s">
        <v>155</v>
      </c>
      <c r="Q68" s="168">
        <f>V_BLANK-V_FRONT_PORCH-Q66</f>
        <v>182</v>
      </c>
      <c r="R68" s="1"/>
      <c r="S68" s="3"/>
      <c r="AE68" s="1"/>
      <c r="AN68" s="17"/>
      <c r="AO68" s="17"/>
      <c r="AP68" s="17"/>
    </row>
    <row r="69" spans="1:42" ht="24.75" customHeight="1" hidden="1">
      <c r="A69" s="186"/>
      <c r="B69" s="23"/>
      <c r="C69" s="187"/>
      <c r="D69" s="17"/>
      <c r="E69" s="18"/>
      <c r="F69" s="24"/>
      <c r="G69" s="27"/>
      <c r="H69" s="17"/>
      <c r="I69" s="17"/>
      <c r="J69" s="18"/>
      <c r="K69" s="17"/>
      <c r="L69" s="17"/>
      <c r="M69" s="17"/>
      <c r="O69" s="103"/>
      <c r="P69" s="194"/>
      <c r="Q69" s="169"/>
      <c r="R69" s="1"/>
      <c r="S69" s="3"/>
      <c r="AE69" s="1"/>
      <c r="AN69" s="17"/>
      <c r="AO69" s="17"/>
      <c r="AP69" s="17"/>
    </row>
    <row r="70" spans="1:42" ht="24.75" customHeight="1" hidden="1">
      <c r="A70" s="186"/>
      <c r="B70" s="23"/>
      <c r="C70" s="187"/>
      <c r="D70" s="17"/>
      <c r="E70" s="18"/>
      <c r="F70" s="24"/>
      <c r="G70" s="27"/>
      <c r="H70" s="17"/>
      <c r="I70" s="17"/>
      <c r="J70" s="18"/>
      <c r="K70" s="17"/>
      <c r="L70" s="17"/>
      <c r="M70" s="17"/>
      <c r="N70" s="17"/>
      <c r="R70" s="79"/>
      <c r="S70" s="3"/>
      <c r="AE70" s="1"/>
      <c r="AN70" s="17"/>
      <c r="AO70" s="17"/>
      <c r="AP70" s="17"/>
    </row>
    <row r="71" spans="1:42" ht="24.75" customHeight="1" hidden="1">
      <c r="A71" s="186"/>
      <c r="B71" s="23"/>
      <c r="C71" s="187"/>
      <c r="D71" s="17"/>
      <c r="E71" s="18"/>
      <c r="F71" s="24"/>
      <c r="G71" s="27"/>
      <c r="H71" s="17"/>
      <c r="I71" s="17"/>
      <c r="J71" s="18"/>
      <c r="K71" s="17"/>
      <c r="L71" s="17"/>
      <c r="M71" s="17"/>
      <c r="N71" s="79"/>
      <c r="R71" s="79"/>
      <c r="S71" s="3"/>
      <c r="V71" s="17"/>
      <c r="AE71" s="1"/>
      <c r="AN71" s="17"/>
      <c r="AO71" s="17"/>
      <c r="AP71" s="17"/>
    </row>
    <row r="72" spans="1:42" ht="24.75" customHeight="1" hidden="1">
      <c r="A72" s="188"/>
      <c r="B72" s="23"/>
      <c r="C72" s="187"/>
      <c r="D72" s="17"/>
      <c r="E72" s="18"/>
      <c r="F72" s="24"/>
      <c r="G72" s="27"/>
      <c r="H72" s="17"/>
      <c r="I72" s="17"/>
      <c r="J72" s="18"/>
      <c r="K72" s="17"/>
      <c r="L72" s="17"/>
      <c r="M72" s="17"/>
      <c r="N72" s="79"/>
      <c r="R72" s="79"/>
      <c r="S72" s="3"/>
      <c r="V72" s="17"/>
      <c r="AE72" s="1"/>
      <c r="AN72" s="17"/>
      <c r="AO72" s="17"/>
      <c r="AP72" s="17"/>
    </row>
    <row r="73" spans="1:42" ht="24.75" customHeight="1" hidden="1">
      <c r="A73" s="188"/>
      <c r="N73" s="79"/>
      <c r="R73" s="79"/>
      <c r="S73" s="3"/>
      <c r="V73" s="17"/>
      <c r="AE73" s="1"/>
      <c r="AN73" s="17"/>
      <c r="AO73" s="17"/>
      <c r="AP73" s="17"/>
    </row>
    <row r="74" spans="2:42" ht="24.75" customHeight="1" hidden="1">
      <c r="B74" s="189"/>
      <c r="C74" s="20"/>
      <c r="D74" s="21"/>
      <c r="E74" s="20"/>
      <c r="F74" s="45"/>
      <c r="G74" s="21"/>
      <c r="H74" s="21"/>
      <c r="I74" s="21"/>
      <c r="J74" s="20"/>
      <c r="K74" s="20"/>
      <c r="L74" s="21"/>
      <c r="M74" s="92"/>
      <c r="N74" s="79"/>
      <c r="R74" s="79"/>
      <c r="S74" s="3"/>
      <c r="V74" s="17"/>
      <c r="W74" s="156"/>
      <c r="X74" s="17"/>
      <c r="AE74" s="1"/>
      <c r="AN74" s="17"/>
      <c r="AO74" s="17"/>
      <c r="AP74" s="17"/>
    </row>
    <row r="75" spans="2:42" ht="24.75" customHeight="1" hidden="1">
      <c r="B75" s="190" t="s">
        <v>156</v>
      </c>
      <c r="C75" s="18"/>
      <c r="D75" s="101"/>
      <c r="E75" s="18"/>
      <c r="F75" s="46"/>
      <c r="G75" s="101"/>
      <c r="H75" s="101"/>
      <c r="I75" s="101"/>
      <c r="J75" s="101"/>
      <c r="K75" s="101"/>
      <c r="L75" s="101"/>
      <c r="M75" s="144"/>
      <c r="N75" s="79"/>
      <c r="R75" s="79"/>
      <c r="S75" s="3"/>
      <c r="V75" s="17"/>
      <c r="W75" s="156"/>
      <c r="X75" s="17"/>
      <c r="AE75" s="1"/>
      <c r="AN75" s="17"/>
      <c r="AO75" s="17"/>
      <c r="AP75" s="17"/>
    </row>
    <row r="76" spans="2:42" ht="24.75" customHeight="1" hidden="1">
      <c r="B76" s="190"/>
      <c r="C76" s="18"/>
      <c r="D76" s="17"/>
      <c r="E76" s="18"/>
      <c r="F76" s="46"/>
      <c r="G76" s="17"/>
      <c r="H76" s="17"/>
      <c r="I76" s="17"/>
      <c r="J76" s="18"/>
      <c r="K76" s="18"/>
      <c r="L76" s="17"/>
      <c r="M76" s="124"/>
      <c r="N76" s="79"/>
      <c r="R76" s="79"/>
      <c r="S76" s="3"/>
      <c r="V76" s="17"/>
      <c r="W76" s="156"/>
      <c r="X76" s="17"/>
      <c r="AE76" s="1"/>
      <c r="AN76" s="17"/>
      <c r="AO76" s="17"/>
      <c r="AP76" s="17"/>
    </row>
    <row r="77" spans="2:42" ht="24.75" customHeight="1" hidden="1">
      <c r="B77" s="190" t="s">
        <v>157</v>
      </c>
      <c r="C77" s="18"/>
      <c r="D77" s="17"/>
      <c r="E77" s="18"/>
      <c r="F77" s="46"/>
      <c r="G77" s="17"/>
      <c r="H77" s="17"/>
      <c r="I77" s="17"/>
      <c r="J77" s="18"/>
      <c r="K77" s="18"/>
      <c r="L77" s="17"/>
      <c r="M77" s="124"/>
      <c r="N77" s="79"/>
      <c r="R77" s="79"/>
      <c r="S77" s="3"/>
      <c r="V77" s="17"/>
      <c r="W77" s="156"/>
      <c r="X77" s="17"/>
      <c r="AE77" s="1"/>
      <c r="AN77" s="17"/>
      <c r="AO77" s="17"/>
      <c r="AP77" s="17"/>
    </row>
    <row r="78" spans="2:42" ht="24.75" customHeight="1" hidden="1">
      <c r="B78" s="191"/>
      <c r="J78" s="2"/>
      <c r="K78" s="195"/>
      <c r="L78" s="195"/>
      <c r="M78" s="124"/>
      <c r="N78" s="79"/>
      <c r="R78" s="79"/>
      <c r="S78" s="3"/>
      <c r="V78" s="17"/>
      <c r="W78" s="156"/>
      <c r="X78" s="17"/>
      <c r="AE78" s="1"/>
      <c r="AN78" s="17"/>
      <c r="AO78" s="17"/>
      <c r="AP78" s="17"/>
    </row>
    <row r="79" spans="2:42" ht="24.75" customHeight="1" hidden="1">
      <c r="B79" s="191"/>
      <c r="C79" s="46" t="s">
        <v>158</v>
      </c>
      <c r="D79" s="17"/>
      <c r="E79" s="18"/>
      <c r="F79" s="18"/>
      <c r="G79" s="17"/>
      <c r="H79" s="17"/>
      <c r="I79" s="17"/>
      <c r="J79" s="18"/>
      <c r="K79" s="195"/>
      <c r="L79" s="195"/>
      <c r="M79" s="124"/>
      <c r="N79" s="79"/>
      <c r="R79" s="79"/>
      <c r="S79" s="3"/>
      <c r="V79" s="17"/>
      <c r="W79" s="156"/>
      <c r="X79" s="17"/>
      <c r="AE79" s="1"/>
      <c r="AN79" s="17"/>
      <c r="AO79" s="17"/>
      <c r="AP79" s="17"/>
    </row>
    <row r="80" spans="2:42" ht="24.75" customHeight="1" hidden="1">
      <c r="B80" s="191"/>
      <c r="C80" s="18" t="s">
        <v>159</v>
      </c>
      <c r="D80" s="17"/>
      <c r="E80" s="18"/>
      <c r="F80" s="18"/>
      <c r="G80" s="17"/>
      <c r="H80" s="17"/>
      <c r="I80" s="17"/>
      <c r="J80" s="18"/>
      <c r="K80" s="18"/>
      <c r="L80" s="17"/>
      <c r="M80" s="124"/>
      <c r="N80" s="79"/>
      <c r="R80" s="79"/>
      <c r="S80" s="3"/>
      <c r="W80" s="156"/>
      <c r="X80" s="17"/>
      <c r="AE80" s="1"/>
      <c r="AN80" s="17"/>
      <c r="AO80" s="17"/>
      <c r="AP80" s="17"/>
    </row>
    <row r="81" spans="2:42" ht="24.75" customHeight="1" hidden="1">
      <c r="B81" s="191"/>
      <c r="C81" s="18"/>
      <c r="D81" s="17" t="s">
        <v>160</v>
      </c>
      <c r="E81" s="18"/>
      <c r="F81" s="18"/>
      <c r="G81" s="17"/>
      <c r="H81" s="17"/>
      <c r="I81" s="17"/>
      <c r="J81" s="18"/>
      <c r="K81" s="18"/>
      <c r="L81" s="17"/>
      <c r="M81" s="124"/>
      <c r="N81" s="79"/>
      <c r="R81" s="79"/>
      <c r="S81" s="3"/>
      <c r="W81" s="156"/>
      <c r="X81" s="17"/>
      <c r="AE81" s="1"/>
      <c r="AN81" s="17"/>
      <c r="AO81" s="17"/>
      <c r="AP81" s="17"/>
    </row>
    <row r="82" spans="2:42" ht="24.75" customHeight="1" hidden="1">
      <c r="B82" s="191"/>
      <c r="C82" s="18"/>
      <c r="D82" s="17" t="s">
        <v>161</v>
      </c>
      <c r="E82" s="18"/>
      <c r="F82" s="18"/>
      <c r="G82" s="17"/>
      <c r="H82" s="17"/>
      <c r="I82" s="17"/>
      <c r="J82" s="18"/>
      <c r="K82" s="18"/>
      <c r="L82" s="17"/>
      <c r="M82" s="124"/>
      <c r="N82" s="79"/>
      <c r="R82" s="79"/>
      <c r="S82" s="3"/>
      <c r="W82" s="156"/>
      <c r="X82" s="17"/>
      <c r="AE82" s="1"/>
      <c r="AN82" s="17"/>
      <c r="AO82" s="17"/>
      <c r="AP82" s="17"/>
    </row>
    <row r="83" spans="2:42" ht="24.75" customHeight="1" hidden="1">
      <c r="B83" s="191"/>
      <c r="C83" s="18"/>
      <c r="D83" s="47" t="s">
        <v>162</v>
      </c>
      <c r="E83" s="192" t="s">
        <v>163</v>
      </c>
      <c r="J83" s="2"/>
      <c r="K83" s="196">
        <v>1.8</v>
      </c>
      <c r="L83" s="23"/>
      <c r="M83" s="124"/>
      <c r="N83" s="79"/>
      <c r="R83" s="79"/>
      <c r="S83" s="3"/>
      <c r="AE83" s="1"/>
      <c r="AN83" s="17"/>
      <c r="AO83" s="17"/>
      <c r="AP83" s="17"/>
    </row>
    <row r="84" spans="2:42" ht="24.75" customHeight="1" hidden="1">
      <c r="B84" s="191"/>
      <c r="C84" s="18"/>
      <c r="D84" s="47"/>
      <c r="E84" s="192"/>
      <c r="J84" s="2"/>
      <c r="K84" s="192"/>
      <c r="L84" s="23"/>
      <c r="M84" s="124"/>
      <c r="N84" s="79"/>
      <c r="R84" s="1"/>
      <c r="S84" s="3"/>
      <c r="AE84" s="1"/>
      <c r="AN84" s="17"/>
      <c r="AO84" s="17"/>
      <c r="AP84" s="17"/>
    </row>
    <row r="85" spans="2:37" ht="24.75" customHeight="1" hidden="1">
      <c r="B85" s="191"/>
      <c r="C85" s="18"/>
      <c r="D85" s="47"/>
      <c r="J85" s="2"/>
      <c r="K85" s="2"/>
      <c r="L85" s="18"/>
      <c r="M85" s="124"/>
      <c r="N85" s="79"/>
      <c r="R85" s="1"/>
      <c r="S85" s="3"/>
      <c r="AE85" s="1"/>
      <c r="AI85" s="17"/>
      <c r="AJ85" s="17"/>
      <c r="AK85" s="17"/>
    </row>
    <row r="86" spans="2:37" ht="24.75" customHeight="1" hidden="1">
      <c r="B86" s="191"/>
      <c r="C86" s="46" t="s">
        <v>164</v>
      </c>
      <c r="D86" s="17"/>
      <c r="E86" s="18"/>
      <c r="F86" s="18"/>
      <c r="G86" s="17"/>
      <c r="H86" s="17"/>
      <c r="I86" s="17"/>
      <c r="J86" s="18"/>
      <c r="K86" s="18"/>
      <c r="L86" s="18"/>
      <c r="M86" s="124"/>
      <c r="N86" s="17"/>
      <c r="R86" s="1"/>
      <c r="S86" s="3"/>
      <c r="AE86" s="1"/>
      <c r="AI86" s="17"/>
      <c r="AJ86" s="17"/>
      <c r="AK86" s="17"/>
    </row>
    <row r="87" spans="2:37" ht="24.75" customHeight="1" hidden="1">
      <c r="B87" s="191"/>
      <c r="C87" s="18"/>
      <c r="D87" s="47" t="s">
        <v>162</v>
      </c>
      <c r="E87" s="192" t="s">
        <v>165</v>
      </c>
      <c r="F87" s="18"/>
      <c r="G87" s="17"/>
      <c r="H87" s="17"/>
      <c r="I87" s="17"/>
      <c r="J87" s="18"/>
      <c r="K87" s="197">
        <v>8.4999</v>
      </c>
      <c r="L87" s="198"/>
      <c r="M87" s="124"/>
      <c r="N87" s="79"/>
      <c r="R87" s="1"/>
      <c r="S87" s="3"/>
      <c r="AE87" s="1"/>
      <c r="AI87" s="17"/>
      <c r="AJ87" s="17"/>
      <c r="AK87" s="17"/>
    </row>
    <row r="88" spans="2:37" ht="24.75" customHeight="1" hidden="1">
      <c r="B88" s="191"/>
      <c r="C88" s="18"/>
      <c r="D88" s="17"/>
      <c r="E88" s="18"/>
      <c r="F88" s="18"/>
      <c r="G88" s="17"/>
      <c r="H88" s="17"/>
      <c r="I88" s="17"/>
      <c r="J88" s="18"/>
      <c r="K88" s="199"/>
      <c r="L88" s="199"/>
      <c r="M88" s="124"/>
      <c r="N88" s="79"/>
      <c r="R88" s="1"/>
      <c r="S88" s="3"/>
      <c r="AE88" s="1"/>
      <c r="AI88" s="17"/>
      <c r="AJ88" s="17"/>
      <c r="AK88" s="17"/>
    </row>
    <row r="89" spans="2:37" ht="24.75" customHeight="1" hidden="1">
      <c r="B89" s="191"/>
      <c r="C89" s="46" t="s">
        <v>166</v>
      </c>
      <c r="D89" s="17"/>
      <c r="E89" s="18"/>
      <c r="F89" s="18"/>
      <c r="G89" s="17"/>
      <c r="H89" s="17"/>
      <c r="I89" s="17"/>
      <c r="J89" s="18"/>
      <c r="K89" s="199"/>
      <c r="L89" s="199"/>
      <c r="M89" s="124"/>
      <c r="N89" s="79"/>
      <c r="R89" s="1"/>
      <c r="S89" s="3"/>
      <c r="AE89" s="1"/>
      <c r="AI89" s="17"/>
      <c r="AJ89" s="17"/>
      <c r="AK89" s="17"/>
    </row>
    <row r="90" spans="2:37" ht="24.75" customHeight="1" hidden="1">
      <c r="B90" s="191"/>
      <c r="C90" s="18" t="s">
        <v>159</v>
      </c>
      <c r="D90" s="17"/>
      <c r="E90" s="18"/>
      <c r="F90" s="18"/>
      <c r="G90" s="17"/>
      <c r="H90" s="17"/>
      <c r="I90" s="17"/>
      <c r="J90" s="18"/>
      <c r="K90" s="199"/>
      <c r="L90" s="199"/>
      <c r="M90" s="124"/>
      <c r="N90" s="79"/>
      <c r="R90" s="1"/>
      <c r="S90" s="3"/>
      <c r="AE90" s="1"/>
      <c r="AI90" s="17"/>
      <c r="AJ90" s="17"/>
      <c r="AK90" s="17"/>
    </row>
    <row r="91" spans="2:37" ht="24.75" customHeight="1" hidden="1">
      <c r="B91" s="191"/>
      <c r="C91" s="18"/>
      <c r="D91" s="17" t="s">
        <v>167</v>
      </c>
      <c r="E91" s="18"/>
      <c r="F91" s="18"/>
      <c r="G91" s="17"/>
      <c r="H91" s="17"/>
      <c r="I91" s="17"/>
      <c r="J91" s="18"/>
      <c r="K91" s="199"/>
      <c r="L91" s="199"/>
      <c r="M91" s="124"/>
      <c r="N91" s="79"/>
      <c r="R91" s="1"/>
      <c r="S91" s="3"/>
      <c r="AE91" s="1"/>
      <c r="AI91" s="17"/>
      <c r="AJ91" s="17"/>
      <c r="AK91" s="17"/>
    </row>
    <row r="92" spans="2:37" ht="24.75" customHeight="1" hidden="1">
      <c r="B92" s="191"/>
      <c r="C92" s="18"/>
      <c r="D92" s="17" t="s">
        <v>168</v>
      </c>
      <c r="E92" s="18"/>
      <c r="F92" s="18"/>
      <c r="G92" s="17"/>
      <c r="H92" s="17"/>
      <c r="I92" s="17"/>
      <c r="J92" s="18"/>
      <c r="K92" s="199"/>
      <c r="L92" s="199"/>
      <c r="M92" s="124"/>
      <c r="N92" s="79"/>
      <c r="R92" s="1"/>
      <c r="S92" s="3"/>
      <c r="AE92" s="1"/>
      <c r="AI92" s="17"/>
      <c r="AJ92" s="17"/>
      <c r="AK92" s="17"/>
    </row>
    <row r="93" spans="2:37" ht="24.75" customHeight="1" hidden="1">
      <c r="B93" s="191"/>
      <c r="C93" s="18"/>
      <c r="D93" s="47" t="s">
        <v>162</v>
      </c>
      <c r="E93" s="24" t="s">
        <v>169</v>
      </c>
      <c r="F93" s="23"/>
      <c r="G93" s="47"/>
      <c r="H93" s="47"/>
      <c r="I93" s="47"/>
      <c r="J93" s="23"/>
      <c r="K93" s="197">
        <f>IF(ASPECT_RATIO&lt;&gt;"",VLOOKUP(ASPECT_RATIO,VSYNC_WIDTH_TABLE,2,FALSE),VLOOKUP("Custom",VSYNC_WIDTH_TABLE,2,FALSE))</f>
        <v>10</v>
      </c>
      <c r="L93" s="198"/>
      <c r="M93" s="124"/>
      <c r="N93" s="79"/>
      <c r="R93" s="1"/>
      <c r="S93" s="3"/>
      <c r="AE93" s="1"/>
      <c r="AI93" s="17"/>
      <c r="AJ93" s="17"/>
      <c r="AK93" s="17"/>
    </row>
    <row r="94" spans="2:37" ht="24.75" customHeight="1" hidden="1">
      <c r="B94" s="191"/>
      <c r="C94" s="18"/>
      <c r="D94" s="87" t="s">
        <v>162</v>
      </c>
      <c r="E94" s="24" t="s">
        <v>170</v>
      </c>
      <c r="F94" s="24"/>
      <c r="G94" s="87"/>
      <c r="H94" s="87"/>
      <c r="I94" s="87"/>
      <c r="J94" s="24"/>
      <c r="K94" s="200">
        <v>8</v>
      </c>
      <c r="L94" s="24"/>
      <c r="M94" s="124"/>
      <c r="N94" s="79"/>
      <c r="R94" s="1"/>
      <c r="S94" s="3"/>
      <c r="AE94" s="1"/>
      <c r="AI94" s="17"/>
      <c r="AJ94" s="17"/>
      <c r="AK94" s="17"/>
    </row>
    <row r="95" spans="2:37" ht="24.75" customHeight="1" hidden="1">
      <c r="B95" s="191"/>
      <c r="C95" s="18"/>
      <c r="D95" s="17"/>
      <c r="E95" s="18"/>
      <c r="F95" s="18"/>
      <c r="G95" s="17"/>
      <c r="H95" s="17"/>
      <c r="I95" s="17"/>
      <c r="J95" s="18"/>
      <c r="K95" s="18"/>
      <c r="L95" s="18"/>
      <c r="M95" s="124"/>
      <c r="N95" s="79"/>
      <c r="R95" s="1"/>
      <c r="S95" s="3"/>
      <c r="AE95" s="1"/>
      <c r="AI95" s="17"/>
      <c r="AJ95" s="17"/>
      <c r="AK95" s="17"/>
    </row>
    <row r="96" spans="2:37" ht="24.75" customHeight="1" hidden="1">
      <c r="B96" s="191"/>
      <c r="C96" s="18"/>
      <c r="D96" s="17"/>
      <c r="E96" s="18"/>
      <c r="F96" s="18"/>
      <c r="G96" s="17"/>
      <c r="H96" s="17"/>
      <c r="I96" s="17"/>
      <c r="J96" s="18"/>
      <c r="K96" s="18"/>
      <c r="L96" s="18"/>
      <c r="M96" s="124"/>
      <c r="N96" s="79"/>
      <c r="R96" s="1"/>
      <c r="S96" s="3"/>
      <c r="AE96" s="1"/>
      <c r="AI96" s="17"/>
      <c r="AJ96" s="17"/>
      <c r="AK96" s="17"/>
    </row>
    <row r="97" spans="2:37" ht="24.75" customHeight="1" hidden="1">
      <c r="B97" s="191"/>
      <c r="C97" s="46" t="s">
        <v>171</v>
      </c>
      <c r="D97" s="17"/>
      <c r="E97" s="18"/>
      <c r="F97" s="18"/>
      <c r="G97" s="17"/>
      <c r="H97" s="17"/>
      <c r="I97" s="17"/>
      <c r="J97" s="18"/>
      <c r="K97" s="18"/>
      <c r="L97" s="18"/>
      <c r="M97" s="124"/>
      <c r="N97" s="79"/>
      <c r="R97" s="1"/>
      <c r="S97" s="3"/>
      <c r="AE97" s="1"/>
      <c r="AI97" s="17"/>
      <c r="AJ97" s="17"/>
      <c r="AK97" s="17"/>
    </row>
    <row r="98" spans="2:37" ht="24.75" customHeight="1" hidden="1">
      <c r="B98" s="191"/>
      <c r="C98" s="18" t="s">
        <v>159</v>
      </c>
      <c r="D98" s="17"/>
      <c r="E98" s="18"/>
      <c r="F98" s="18"/>
      <c r="G98" s="17"/>
      <c r="H98" s="17"/>
      <c r="I98" s="17"/>
      <c r="J98" s="18"/>
      <c r="K98" s="18"/>
      <c r="L98" s="18"/>
      <c r="M98" s="124"/>
      <c r="N98" s="79"/>
      <c r="R98" s="1"/>
      <c r="S98" s="3"/>
      <c r="AE98" s="1"/>
      <c r="AI98" s="17"/>
      <c r="AJ98" s="17"/>
      <c r="AK98" s="17"/>
    </row>
    <row r="99" spans="2:37" ht="24.75" customHeight="1" hidden="1">
      <c r="B99" s="191"/>
      <c r="C99" s="18"/>
      <c r="D99" s="17" t="s">
        <v>172</v>
      </c>
      <c r="E99" s="18"/>
      <c r="F99" s="18"/>
      <c r="G99" s="17"/>
      <c r="H99" s="17"/>
      <c r="I99" s="17"/>
      <c r="J99" s="18"/>
      <c r="K99" s="18"/>
      <c r="L99" s="18"/>
      <c r="M99" s="124"/>
      <c r="N99" s="79"/>
      <c r="R99" s="1"/>
      <c r="S99" s="3"/>
      <c r="AE99" s="1"/>
      <c r="AI99" s="17"/>
      <c r="AJ99" s="17"/>
      <c r="AK99" s="17"/>
    </row>
    <row r="100" spans="2:37" ht="24.75" customHeight="1" hidden="1">
      <c r="B100" s="191"/>
      <c r="C100" s="18"/>
      <c r="D100" s="47" t="s">
        <v>162</v>
      </c>
      <c r="E100" s="24" t="s">
        <v>173</v>
      </c>
      <c r="F100" s="24"/>
      <c r="G100" s="87"/>
      <c r="H100" s="87"/>
      <c r="I100" s="87"/>
      <c r="J100" s="24"/>
      <c r="K100" s="200">
        <v>550</v>
      </c>
      <c r="L100" s="24"/>
      <c r="M100" s="124"/>
      <c r="N100" s="79"/>
      <c r="R100" s="1"/>
      <c r="S100" s="3"/>
      <c r="AE100" s="1"/>
      <c r="AI100" s="17"/>
      <c r="AJ100" s="17"/>
      <c r="AK100" s="17"/>
    </row>
    <row r="101" spans="2:37" ht="18" hidden="1">
      <c r="B101" s="191"/>
      <c r="C101" s="18"/>
      <c r="I101" s="201" t="s">
        <v>174</v>
      </c>
      <c r="L101" s="17"/>
      <c r="M101" s="124"/>
      <c r="N101" s="79"/>
      <c r="R101" s="1"/>
      <c r="S101" s="3"/>
      <c r="AE101" s="1"/>
      <c r="AI101" s="17"/>
      <c r="AJ101" s="17"/>
      <c r="AK101" s="17"/>
    </row>
    <row r="102" spans="2:37" ht="18" hidden="1">
      <c r="B102" s="191"/>
      <c r="C102" s="18"/>
      <c r="D102" s="47" t="s">
        <v>162</v>
      </c>
      <c r="E102" s="24" t="s">
        <v>175</v>
      </c>
      <c r="I102" s="201"/>
      <c r="K102" s="202">
        <v>6</v>
      </c>
      <c r="L102" s="17"/>
      <c r="M102" s="124"/>
      <c r="N102" s="79"/>
      <c r="R102" s="1"/>
      <c r="S102" s="3"/>
      <c r="AE102" s="1"/>
      <c r="AI102" s="17"/>
      <c r="AJ102" s="17"/>
      <c r="AK102" s="17"/>
    </row>
    <row r="103" spans="2:37" ht="18" hidden="1">
      <c r="B103" s="191"/>
      <c r="C103" s="18"/>
      <c r="D103" s="47" t="s">
        <v>162</v>
      </c>
      <c r="E103" s="24" t="s">
        <v>176</v>
      </c>
      <c r="F103" s="18"/>
      <c r="G103" s="17"/>
      <c r="H103" s="17"/>
      <c r="I103" s="17"/>
      <c r="J103" s="18"/>
      <c r="K103" s="197">
        <v>3</v>
      </c>
      <c r="L103" s="17"/>
      <c r="M103" s="124"/>
      <c r="N103" s="79"/>
      <c r="R103" s="1"/>
      <c r="S103" s="3"/>
      <c r="AE103" s="1"/>
      <c r="AI103" s="17"/>
      <c r="AJ103" s="17"/>
      <c r="AK103" s="17"/>
    </row>
    <row r="104" spans="2:37" ht="24.75" customHeight="1" hidden="1">
      <c r="B104" s="191"/>
      <c r="C104" s="18"/>
      <c r="D104" s="17"/>
      <c r="E104" s="18"/>
      <c r="F104" s="18"/>
      <c r="G104" s="17"/>
      <c r="H104" s="17"/>
      <c r="I104" s="17"/>
      <c r="J104" s="18"/>
      <c r="K104" s="18"/>
      <c r="L104" s="18"/>
      <c r="M104" s="124"/>
      <c r="R104" s="1"/>
      <c r="S104" s="3"/>
      <c r="AE104" s="1"/>
      <c r="AI104" s="17"/>
      <c r="AJ104" s="17"/>
      <c r="AK104" s="17"/>
    </row>
    <row r="105" spans="2:37" ht="24.75" customHeight="1" hidden="1">
      <c r="B105" s="191"/>
      <c r="C105" s="46" t="s">
        <v>177</v>
      </c>
      <c r="D105" s="17"/>
      <c r="E105" s="18"/>
      <c r="F105" s="18"/>
      <c r="G105" s="17"/>
      <c r="H105" s="17"/>
      <c r="I105" s="17"/>
      <c r="J105" s="18"/>
      <c r="K105" s="18"/>
      <c r="L105" s="18"/>
      <c r="M105" s="124"/>
      <c r="O105" s="156"/>
      <c r="P105" s="67"/>
      <c r="Q105" s="25"/>
      <c r="R105" s="1"/>
      <c r="S105" s="3"/>
      <c r="AE105" s="1"/>
      <c r="AI105" s="17"/>
      <c r="AJ105" s="17"/>
      <c r="AK105" s="17"/>
    </row>
    <row r="106" spans="2:37" ht="24.75" customHeight="1" hidden="1">
      <c r="B106" s="191"/>
      <c r="C106" s="18" t="s">
        <v>159</v>
      </c>
      <c r="D106" s="17"/>
      <c r="E106" s="18"/>
      <c r="F106" s="18"/>
      <c r="G106" s="17"/>
      <c r="H106" s="17"/>
      <c r="I106" s="17"/>
      <c r="J106" s="18"/>
      <c r="K106" s="18"/>
      <c r="L106" s="18"/>
      <c r="M106" s="124"/>
      <c r="O106" s="156"/>
      <c r="P106" s="67"/>
      <c r="Q106" s="25"/>
      <c r="R106" s="1"/>
      <c r="S106" s="3"/>
      <c r="AE106" s="1"/>
      <c r="AI106" s="17"/>
      <c r="AJ106" s="17"/>
      <c r="AK106" s="17"/>
    </row>
    <row r="107" spans="2:37" ht="24.75" customHeight="1" hidden="1">
      <c r="B107" s="191"/>
      <c r="C107" s="18"/>
      <c r="D107" s="17" t="s">
        <v>178</v>
      </c>
      <c r="E107" s="18"/>
      <c r="F107" s="18"/>
      <c r="G107" s="17"/>
      <c r="H107" s="17"/>
      <c r="I107" s="17"/>
      <c r="J107" s="18"/>
      <c r="K107" s="18"/>
      <c r="L107" s="18"/>
      <c r="M107" s="124"/>
      <c r="O107" s="156"/>
      <c r="P107" s="67"/>
      <c r="Q107" s="25"/>
      <c r="R107" s="1"/>
      <c r="S107" s="3"/>
      <c r="AE107" s="1"/>
      <c r="AI107" s="17"/>
      <c r="AJ107" s="79"/>
      <c r="AK107" s="17"/>
    </row>
    <row r="108" spans="2:37" ht="24.75" customHeight="1" hidden="1">
      <c r="B108" s="191"/>
      <c r="C108" s="18"/>
      <c r="D108" s="17" t="s">
        <v>179</v>
      </c>
      <c r="E108" s="18"/>
      <c r="F108" s="18"/>
      <c r="G108" s="17"/>
      <c r="H108" s="17"/>
      <c r="I108" s="17"/>
      <c r="J108" s="25"/>
      <c r="K108" s="25"/>
      <c r="L108" s="25"/>
      <c r="M108" s="124"/>
      <c r="O108" s="156"/>
      <c r="P108" s="67"/>
      <c r="Q108" s="25"/>
      <c r="R108" s="1"/>
      <c r="S108" s="3"/>
      <c r="AE108" s="1"/>
      <c r="AI108" s="17"/>
      <c r="AJ108" s="79"/>
      <c r="AK108" s="17"/>
    </row>
    <row r="109" spans="2:36" ht="24.75" customHeight="1" hidden="1">
      <c r="B109" s="191"/>
      <c r="C109" s="18"/>
      <c r="D109" s="193" t="s">
        <v>180</v>
      </c>
      <c r="E109" s="18"/>
      <c r="F109" s="18"/>
      <c r="G109" s="17"/>
      <c r="H109" s="17"/>
      <c r="I109" s="17"/>
      <c r="J109" s="18"/>
      <c r="K109" s="25"/>
      <c r="L109" s="25"/>
      <c r="M109" s="124"/>
      <c r="O109" s="156"/>
      <c r="P109" s="67"/>
      <c r="Q109" s="25"/>
      <c r="R109" s="1"/>
      <c r="S109" s="3"/>
      <c r="AE109" s="1"/>
      <c r="AI109" s="17"/>
      <c r="AJ109" s="79"/>
    </row>
    <row r="110" spans="2:36" ht="24.75" customHeight="1" hidden="1">
      <c r="B110" s="191"/>
      <c r="C110" s="18"/>
      <c r="D110" s="47"/>
      <c r="E110" s="23" t="s">
        <v>181</v>
      </c>
      <c r="F110" s="23"/>
      <c r="G110" s="47"/>
      <c r="H110" s="47"/>
      <c r="I110" s="47"/>
      <c r="J110" s="23"/>
      <c r="K110" s="203">
        <v>600</v>
      </c>
      <c r="L110" s="53"/>
      <c r="M110" s="124"/>
      <c r="O110" s="156"/>
      <c r="P110" s="67"/>
      <c r="Q110" s="25"/>
      <c r="R110" s="1"/>
      <c r="S110" s="3"/>
      <c r="AE110" s="1"/>
      <c r="AI110" s="17"/>
      <c r="AJ110" s="17"/>
    </row>
    <row r="111" spans="2:36" ht="24.75" customHeight="1" hidden="1">
      <c r="B111" s="191"/>
      <c r="C111" s="18"/>
      <c r="D111" s="87"/>
      <c r="E111" s="23" t="s">
        <v>182</v>
      </c>
      <c r="F111" s="23"/>
      <c r="G111" s="47"/>
      <c r="H111" s="47"/>
      <c r="I111" s="47"/>
      <c r="J111" s="23"/>
      <c r="K111" s="203">
        <v>40</v>
      </c>
      <c r="L111" s="53"/>
      <c r="M111" s="124"/>
      <c r="O111" s="156"/>
      <c r="P111" s="67"/>
      <c r="Q111" s="25"/>
      <c r="R111" s="1"/>
      <c r="S111" s="3"/>
      <c r="AE111" s="1"/>
      <c r="AI111" s="17"/>
      <c r="AJ111" s="17"/>
    </row>
    <row r="112" spans="2:36" ht="24.75" customHeight="1" hidden="1">
      <c r="B112" s="191"/>
      <c r="C112" s="18"/>
      <c r="D112" s="87"/>
      <c r="E112" s="23" t="s">
        <v>183</v>
      </c>
      <c r="F112" s="18"/>
      <c r="G112" s="17"/>
      <c r="H112" s="17"/>
      <c r="I112" s="17"/>
      <c r="J112" s="18"/>
      <c r="K112" s="203">
        <v>128</v>
      </c>
      <c r="L112" s="53"/>
      <c r="M112" s="124"/>
      <c r="O112" s="156"/>
      <c r="P112" s="67"/>
      <c r="Q112" s="25"/>
      <c r="R112" s="1"/>
      <c r="S112" s="3"/>
      <c r="AE112" s="1"/>
      <c r="AI112" s="17"/>
      <c r="AJ112" s="17"/>
    </row>
    <row r="113" spans="2:36" ht="18" hidden="1">
      <c r="B113" s="191"/>
      <c r="C113" s="18"/>
      <c r="D113" s="87"/>
      <c r="E113" s="23" t="s">
        <v>184</v>
      </c>
      <c r="F113" s="18"/>
      <c r="G113" s="17"/>
      <c r="H113" s="17"/>
      <c r="I113" s="17"/>
      <c r="J113" s="18"/>
      <c r="K113" s="203">
        <v>20</v>
      </c>
      <c r="L113" s="53"/>
      <c r="M113" s="124"/>
      <c r="O113" s="156"/>
      <c r="P113" s="67"/>
      <c r="Q113" s="25"/>
      <c r="R113" s="1"/>
      <c r="S113" s="3"/>
      <c r="AE113" s="1"/>
      <c r="AI113" s="17"/>
      <c r="AJ113" s="17"/>
    </row>
    <row r="114" spans="2:31" ht="17.25" hidden="1">
      <c r="B114" s="191"/>
      <c r="C114" s="18"/>
      <c r="D114" s="87"/>
      <c r="E114" s="23"/>
      <c r="F114" s="18"/>
      <c r="G114" s="17"/>
      <c r="H114" s="17"/>
      <c r="I114" s="17"/>
      <c r="J114" s="18"/>
      <c r="K114" s="53"/>
      <c r="L114" s="53"/>
      <c r="M114" s="124"/>
      <c r="O114" s="156"/>
      <c r="P114" s="67"/>
      <c r="Q114" s="25"/>
      <c r="R114" s="1"/>
      <c r="S114" s="3"/>
      <c r="AE114" s="1"/>
    </row>
    <row r="115" spans="2:31" ht="16.5" hidden="1">
      <c r="B115" s="191"/>
      <c r="C115" s="18"/>
      <c r="D115" s="87"/>
      <c r="E115" s="23" t="s">
        <v>185</v>
      </c>
      <c r="F115" s="18"/>
      <c r="G115" s="17"/>
      <c r="H115" s="17"/>
      <c r="I115" s="17"/>
      <c r="J115" s="18"/>
      <c r="K115" s="53">
        <f>GTF_K_VAR/256*GTF_M_VAR</f>
        <v>300</v>
      </c>
      <c r="L115" s="53"/>
      <c r="M115" s="124"/>
      <c r="O115" s="156"/>
      <c r="P115" s="67"/>
      <c r="Q115" s="25"/>
      <c r="R115" s="1"/>
      <c r="S115" s="3"/>
      <c r="AE115" s="1"/>
    </row>
    <row r="116" spans="2:31" ht="16.5" hidden="1">
      <c r="B116" s="191"/>
      <c r="C116" s="18"/>
      <c r="D116" s="87"/>
      <c r="E116" s="23" t="s">
        <v>186</v>
      </c>
      <c r="F116" s="18"/>
      <c r="G116" s="17"/>
      <c r="H116" s="17"/>
      <c r="I116" s="17"/>
      <c r="J116" s="18"/>
      <c r="K116" s="53">
        <f>((GTF_C_VAR-GTF_J_VAR)*GTF_K_VAR/256)+GTF_J_VAR</f>
        <v>30</v>
      </c>
      <c r="L116" s="53"/>
      <c r="M116" s="124"/>
      <c r="O116" s="156"/>
      <c r="P116" s="67"/>
      <c r="Q116" s="25"/>
      <c r="R116" s="1"/>
      <c r="S116" s="3"/>
      <c r="AE116" s="1"/>
    </row>
    <row r="117" spans="2:31" ht="16.5" hidden="1">
      <c r="B117" s="191"/>
      <c r="C117" s="18"/>
      <c r="D117" s="87"/>
      <c r="E117" s="23"/>
      <c r="F117" s="18"/>
      <c r="G117" s="17"/>
      <c r="H117" s="17"/>
      <c r="I117" s="17"/>
      <c r="J117" s="18"/>
      <c r="K117" s="53"/>
      <c r="L117" s="53"/>
      <c r="M117" s="124"/>
      <c r="O117" s="156"/>
      <c r="P117" s="67"/>
      <c r="Q117" s="25"/>
      <c r="R117" s="1"/>
      <c r="S117" s="3"/>
      <c r="AE117" s="1"/>
    </row>
    <row r="118" spans="2:31" ht="16.5" hidden="1">
      <c r="B118" s="191"/>
      <c r="C118" s="18"/>
      <c r="D118" s="87"/>
      <c r="E118" s="23"/>
      <c r="F118" s="18"/>
      <c r="G118" s="17"/>
      <c r="H118" s="17"/>
      <c r="I118" s="17"/>
      <c r="J118" s="18"/>
      <c r="K118" s="53"/>
      <c r="L118" s="53"/>
      <c r="M118" s="124"/>
      <c r="O118" s="156"/>
      <c r="P118" s="67"/>
      <c r="Q118" s="25"/>
      <c r="R118" s="1"/>
      <c r="S118" s="3"/>
      <c r="AE118" s="1"/>
    </row>
    <row r="119" spans="2:31" ht="17.25" hidden="1">
      <c r="B119" s="190" t="s">
        <v>187</v>
      </c>
      <c r="C119" s="18"/>
      <c r="D119" s="87"/>
      <c r="E119" s="23"/>
      <c r="F119" s="18"/>
      <c r="G119" s="17"/>
      <c r="H119" s="17"/>
      <c r="I119" s="17"/>
      <c r="J119" s="18"/>
      <c r="K119" s="53"/>
      <c r="L119" s="53"/>
      <c r="M119" s="124"/>
      <c r="Q119" s="207"/>
      <c r="R119" s="1"/>
      <c r="S119" s="3"/>
      <c r="AE119" s="1"/>
    </row>
    <row r="120" spans="2:31" ht="18" hidden="1">
      <c r="B120" s="191"/>
      <c r="C120" s="18"/>
      <c r="D120" s="87" t="s">
        <v>188</v>
      </c>
      <c r="E120" s="24"/>
      <c r="I120" s="201"/>
      <c r="K120" s="202">
        <v>160</v>
      </c>
      <c r="L120" s="53"/>
      <c r="M120" s="124"/>
      <c r="R120" s="1"/>
      <c r="S120" s="3"/>
      <c r="AE120" s="1"/>
    </row>
    <row r="121" spans="2:31" ht="18" hidden="1">
      <c r="B121" s="191"/>
      <c r="C121" s="18"/>
      <c r="D121" s="87" t="s">
        <v>189</v>
      </c>
      <c r="E121" s="24"/>
      <c r="I121" s="201"/>
      <c r="K121" s="202">
        <v>32</v>
      </c>
      <c r="L121" s="53"/>
      <c r="M121" s="124"/>
      <c r="R121" s="1"/>
      <c r="S121" s="3"/>
      <c r="AE121" s="1"/>
    </row>
    <row r="122" spans="2:31" ht="18" hidden="1">
      <c r="B122" s="191"/>
      <c r="C122" s="18"/>
      <c r="D122" s="87"/>
      <c r="E122" s="24"/>
      <c r="I122" s="201"/>
      <c r="K122" s="204"/>
      <c r="L122" s="53"/>
      <c r="M122" s="124"/>
      <c r="R122" s="1"/>
      <c r="S122" s="3"/>
      <c r="AE122" s="1"/>
    </row>
    <row r="123" spans="2:31" ht="18" hidden="1">
      <c r="B123" s="191"/>
      <c r="C123" s="18"/>
      <c r="D123" s="87" t="s">
        <v>190</v>
      </c>
      <c r="E123" s="24"/>
      <c r="I123" s="201"/>
      <c r="K123" s="200">
        <v>460</v>
      </c>
      <c r="L123" s="53"/>
      <c r="M123" s="124"/>
      <c r="R123" s="1"/>
      <c r="S123" s="3"/>
      <c r="AE123" s="1"/>
    </row>
    <row r="124" spans="2:31" ht="18" hidden="1">
      <c r="B124" s="191"/>
      <c r="C124" s="18"/>
      <c r="D124" s="87" t="s">
        <v>191</v>
      </c>
      <c r="E124" s="24"/>
      <c r="I124" s="201"/>
      <c r="K124" s="202">
        <v>23</v>
      </c>
      <c r="L124" s="53"/>
      <c r="M124" s="124"/>
      <c r="R124" s="1"/>
      <c r="S124" s="3"/>
      <c r="AE124" s="1"/>
    </row>
    <row r="125" spans="2:31" ht="18" hidden="1">
      <c r="B125" s="191"/>
      <c r="C125" s="18"/>
      <c r="D125" s="87" t="s">
        <v>192</v>
      </c>
      <c r="E125" s="24"/>
      <c r="I125" s="201"/>
      <c r="K125" s="202">
        <v>3</v>
      </c>
      <c r="L125" s="53"/>
      <c r="M125" s="124"/>
      <c r="R125" s="1"/>
      <c r="S125" s="3"/>
      <c r="AE125" s="1"/>
    </row>
    <row r="126" spans="2:31" ht="17.25" hidden="1">
      <c r="B126" s="191"/>
      <c r="C126" s="18"/>
      <c r="D126" s="87"/>
      <c r="E126" s="24"/>
      <c r="I126" s="201"/>
      <c r="K126" s="205"/>
      <c r="L126" s="53"/>
      <c r="M126" s="124"/>
      <c r="R126" s="1"/>
      <c r="S126" s="3"/>
      <c r="AE126" s="1"/>
    </row>
    <row r="127" spans="2:31" ht="17.25" hidden="1">
      <c r="B127" s="191"/>
      <c r="C127" s="18"/>
      <c r="D127" s="87"/>
      <c r="E127" s="24"/>
      <c r="I127" s="201"/>
      <c r="K127" s="206"/>
      <c r="L127" s="53"/>
      <c r="M127" s="124"/>
      <c r="R127" s="1"/>
      <c r="S127" s="3"/>
      <c r="AE127" s="1"/>
    </row>
    <row r="128" spans="2:31" ht="18" hidden="1">
      <c r="B128" s="190" t="s">
        <v>193</v>
      </c>
      <c r="C128" s="18"/>
      <c r="D128" s="87"/>
      <c r="E128" s="24"/>
      <c r="I128" s="201"/>
      <c r="K128" s="200">
        <v>0.001</v>
      </c>
      <c r="L128" s="53"/>
      <c r="M128" s="124"/>
      <c r="R128" s="1"/>
      <c r="S128" s="3"/>
      <c r="AE128" s="1"/>
    </row>
    <row r="129" spans="2:31" ht="17.25" hidden="1">
      <c r="B129" s="190"/>
      <c r="C129" s="18"/>
      <c r="D129" s="87"/>
      <c r="E129" s="24"/>
      <c r="I129" s="201"/>
      <c r="K129" s="24"/>
      <c r="L129" s="53"/>
      <c r="M129" s="124"/>
      <c r="R129" s="1"/>
      <c r="S129" s="3"/>
      <c r="AE129" s="1"/>
    </row>
    <row r="130" spans="2:31" ht="24" customHeight="1" hidden="1">
      <c r="B130" s="191"/>
      <c r="C130" s="18"/>
      <c r="D130" s="17"/>
      <c r="E130" s="18"/>
      <c r="F130" s="18"/>
      <c r="G130" s="17"/>
      <c r="H130" s="17"/>
      <c r="I130" s="17"/>
      <c r="J130" s="17"/>
      <c r="K130" s="18"/>
      <c r="L130" s="18"/>
      <c r="M130" s="124"/>
      <c r="N130" s="17"/>
      <c r="O130" s="1"/>
      <c r="P130" s="3"/>
      <c r="Q130" s="4"/>
      <c r="R130" s="2"/>
      <c r="S130" s="1"/>
      <c r="T130" s="3"/>
      <c r="W130" s="1"/>
      <c r="X130" s="3"/>
      <c r="AE130" s="1"/>
    </row>
    <row r="131" spans="2:31" ht="24" customHeight="1" hidden="1">
      <c r="B131" s="190" t="s">
        <v>194</v>
      </c>
      <c r="C131" s="18"/>
      <c r="D131" s="17"/>
      <c r="E131" s="18"/>
      <c r="F131" s="18"/>
      <c r="G131" s="17"/>
      <c r="H131" s="17"/>
      <c r="I131" s="17"/>
      <c r="J131" s="17"/>
      <c r="K131" s="18"/>
      <c r="L131" s="18"/>
      <c r="M131" s="124"/>
      <c r="N131" s="17"/>
      <c r="O131" s="1"/>
      <c r="P131" s="3"/>
      <c r="Q131" s="4"/>
      <c r="R131" s="2"/>
      <c r="S131" s="1"/>
      <c r="T131" s="3"/>
      <c r="W131" s="1"/>
      <c r="X131" s="3"/>
      <c r="AE131" s="1"/>
    </row>
    <row r="132" spans="2:31" ht="24" customHeight="1" hidden="1">
      <c r="B132" s="190"/>
      <c r="C132" s="18"/>
      <c r="D132" s="17"/>
      <c r="E132" s="18"/>
      <c r="F132" s="18"/>
      <c r="G132" s="17"/>
      <c r="H132" s="17"/>
      <c r="I132" s="17"/>
      <c r="J132" s="17"/>
      <c r="K132" s="18"/>
      <c r="L132" s="18"/>
      <c r="M132" s="124"/>
      <c r="N132" s="17"/>
      <c r="O132" s="1"/>
      <c r="P132" s="3"/>
      <c r="Q132" s="4"/>
      <c r="R132" s="2"/>
      <c r="S132" s="1"/>
      <c r="T132" s="3"/>
      <c r="W132" s="1"/>
      <c r="X132" s="3"/>
      <c r="AE132" s="1"/>
    </row>
    <row r="133" spans="2:31" ht="24" customHeight="1" hidden="1">
      <c r="B133" s="190"/>
      <c r="C133" s="18"/>
      <c r="D133" s="208" t="s">
        <v>195</v>
      </c>
      <c r="E133" s="18"/>
      <c r="F133" s="18"/>
      <c r="G133" s="208" t="s">
        <v>196</v>
      </c>
      <c r="H133" s="17"/>
      <c r="I133" s="17"/>
      <c r="J133" s="17"/>
      <c r="K133" s="18"/>
      <c r="L133" s="18"/>
      <c r="M133" s="124"/>
      <c r="N133" s="17"/>
      <c r="O133" s="1"/>
      <c r="P133" s="3"/>
      <c r="Q133" s="4"/>
      <c r="R133" s="2"/>
      <c r="S133" s="1"/>
      <c r="T133" s="3"/>
      <c r="W133" s="1"/>
      <c r="X133" s="3"/>
      <c r="AE133" s="1"/>
    </row>
    <row r="134" spans="2:31" ht="24" customHeight="1" hidden="1">
      <c r="B134" s="191"/>
      <c r="C134" s="18"/>
      <c r="D134" s="17"/>
      <c r="E134" s="209" t="s">
        <v>197</v>
      </c>
      <c r="F134" s="18"/>
      <c r="G134" s="17"/>
      <c r="H134" s="17"/>
      <c r="I134" s="17"/>
      <c r="J134" s="17"/>
      <c r="K134" s="18"/>
      <c r="L134" s="18"/>
      <c r="M134" s="124"/>
      <c r="N134" s="17"/>
      <c r="O134" s="1"/>
      <c r="P134" s="3"/>
      <c r="Q134" s="4"/>
      <c r="R134" s="2"/>
      <c r="S134" s="1"/>
      <c r="T134" s="3"/>
      <c r="W134" s="1"/>
      <c r="X134" s="3"/>
      <c r="AE134" s="1"/>
    </row>
    <row r="135" spans="2:31" ht="24" customHeight="1" hidden="1">
      <c r="B135" s="191"/>
      <c r="C135" s="18"/>
      <c r="D135" s="235" t="s">
        <v>198</v>
      </c>
      <c r="E135" s="211">
        <v>4</v>
      </c>
      <c r="F135" s="18"/>
      <c r="G135" s="212" t="s">
        <v>199</v>
      </c>
      <c r="H135" s="213" t="s">
        <v>200</v>
      </c>
      <c r="I135" s="226" t="s">
        <v>201</v>
      </c>
      <c r="J135" s="227"/>
      <c r="K135" s="228"/>
      <c r="L135" s="18"/>
      <c r="M135" s="124"/>
      <c r="N135" s="17"/>
      <c r="O135" s="1"/>
      <c r="P135" s="3"/>
      <c r="Q135" s="4"/>
      <c r="R135" s="2"/>
      <c r="S135" s="1"/>
      <c r="T135" s="3"/>
      <c r="W135" s="1"/>
      <c r="X135" s="3"/>
      <c r="AE135" s="1"/>
    </row>
    <row r="136" spans="2:31" ht="24" customHeight="1" hidden="1">
      <c r="B136" s="191"/>
      <c r="C136" s="18"/>
      <c r="D136" s="236" t="s">
        <v>202</v>
      </c>
      <c r="E136" s="215">
        <f aca="true" t="shared" si="1" ref="E136:E142">E135+1</f>
        <v>5</v>
      </c>
      <c r="F136" s="18"/>
      <c r="G136" s="216" t="s">
        <v>203</v>
      </c>
      <c r="H136" s="217" t="s">
        <v>204</v>
      </c>
      <c r="I136" s="229" t="s">
        <v>205</v>
      </c>
      <c r="J136" s="230"/>
      <c r="K136" s="211"/>
      <c r="L136" s="18"/>
      <c r="M136" s="124"/>
      <c r="N136" s="17"/>
      <c r="O136" s="1"/>
      <c r="P136" s="3"/>
      <c r="Q136" s="4"/>
      <c r="R136" s="2"/>
      <c r="S136" s="1"/>
      <c r="T136" s="3"/>
      <c r="W136" s="1"/>
      <c r="X136" s="3"/>
      <c r="AE136" s="1"/>
    </row>
    <row r="137" spans="2:31" ht="24" customHeight="1" hidden="1">
      <c r="B137" s="191"/>
      <c r="C137" s="18"/>
      <c r="D137" s="236" t="s">
        <v>206</v>
      </c>
      <c r="E137" s="215">
        <f t="shared" si="1"/>
        <v>6</v>
      </c>
      <c r="F137" s="218"/>
      <c r="G137" s="219" t="s">
        <v>204</v>
      </c>
      <c r="H137" s="220" t="s">
        <v>203</v>
      </c>
      <c r="I137" s="231" t="s">
        <v>207</v>
      </c>
      <c r="J137" s="232"/>
      <c r="K137" s="223"/>
      <c r="L137" s="18"/>
      <c r="M137" s="124"/>
      <c r="N137" s="17"/>
      <c r="O137" s="1"/>
      <c r="P137" s="3"/>
      <c r="Q137" s="4"/>
      <c r="R137" s="2"/>
      <c r="S137" s="1"/>
      <c r="T137" s="3"/>
      <c r="W137" s="1"/>
      <c r="X137" s="3"/>
      <c r="AE137" s="1"/>
    </row>
    <row r="138" spans="2:31" ht="24" customHeight="1" hidden="1">
      <c r="B138" s="191"/>
      <c r="C138" s="18"/>
      <c r="D138" s="236" t="s">
        <v>208</v>
      </c>
      <c r="E138" s="215">
        <f t="shared" si="1"/>
        <v>7</v>
      </c>
      <c r="F138" s="18"/>
      <c r="G138" s="17"/>
      <c r="H138" s="17"/>
      <c r="I138" s="17"/>
      <c r="J138" s="17"/>
      <c r="K138" s="18"/>
      <c r="L138" s="18"/>
      <c r="M138" s="124"/>
      <c r="N138" s="17"/>
      <c r="O138" s="1"/>
      <c r="P138" s="3"/>
      <c r="Q138" s="4"/>
      <c r="R138" s="2"/>
      <c r="S138" s="1"/>
      <c r="T138" s="3"/>
      <c r="W138" s="1"/>
      <c r="X138" s="3"/>
      <c r="AE138" s="1"/>
    </row>
    <row r="139" spans="2:31" ht="24" customHeight="1" hidden="1">
      <c r="B139" s="191"/>
      <c r="C139" s="18"/>
      <c r="D139" s="236" t="s">
        <v>209</v>
      </c>
      <c r="E139" s="215">
        <v>7</v>
      </c>
      <c r="F139" s="18"/>
      <c r="G139" s="17"/>
      <c r="H139" s="17"/>
      <c r="I139" s="17"/>
      <c r="J139" s="17"/>
      <c r="K139" s="18"/>
      <c r="L139" s="18"/>
      <c r="M139" s="124"/>
      <c r="N139" s="17"/>
      <c r="O139" s="1"/>
      <c r="P139" s="3"/>
      <c r="Q139" s="4"/>
      <c r="R139" s="2"/>
      <c r="S139" s="1"/>
      <c r="T139" s="3"/>
      <c r="W139" s="1"/>
      <c r="X139" s="3"/>
      <c r="AE139" s="1"/>
    </row>
    <row r="140" spans="2:31" ht="24" customHeight="1" hidden="1">
      <c r="B140" s="191"/>
      <c r="C140" s="18"/>
      <c r="D140" s="214" t="s">
        <v>210</v>
      </c>
      <c r="E140" s="215">
        <f>E138+1</f>
        <v>8</v>
      </c>
      <c r="F140" s="18"/>
      <c r="G140" s="17"/>
      <c r="H140" s="17"/>
      <c r="I140" s="17"/>
      <c r="J140" s="17"/>
      <c r="K140" s="18"/>
      <c r="L140" s="18"/>
      <c r="M140" s="124"/>
      <c r="N140" s="17"/>
      <c r="O140" s="1"/>
      <c r="P140" s="3"/>
      <c r="Q140" s="4"/>
      <c r="R140" s="2"/>
      <c r="S140" s="1"/>
      <c r="T140" s="3"/>
      <c r="W140" s="1"/>
      <c r="X140" s="3"/>
      <c r="AE140" s="1"/>
    </row>
    <row r="141" spans="2:31" ht="24" customHeight="1" hidden="1">
      <c r="B141" s="191"/>
      <c r="C141" s="18"/>
      <c r="D141" s="221" t="s">
        <v>210</v>
      </c>
      <c r="E141" s="215">
        <f t="shared" si="1"/>
        <v>9</v>
      </c>
      <c r="F141" s="18"/>
      <c r="G141" s="17"/>
      <c r="H141" s="17"/>
      <c r="I141" s="17"/>
      <c r="J141" s="17"/>
      <c r="K141" s="18"/>
      <c r="L141" s="18"/>
      <c r="M141" s="124"/>
      <c r="N141" s="17"/>
      <c r="O141" s="1"/>
      <c r="P141" s="3"/>
      <c r="Q141" s="4"/>
      <c r="R141" s="2"/>
      <c r="S141" s="1"/>
      <c r="T141" s="3"/>
      <c r="W141" s="1"/>
      <c r="X141" s="3"/>
      <c r="AE141" s="1"/>
    </row>
    <row r="142" spans="2:31" ht="24" customHeight="1" hidden="1">
      <c r="B142" s="191"/>
      <c r="C142" s="18"/>
      <c r="D142" s="222" t="s">
        <v>211</v>
      </c>
      <c r="E142" s="223">
        <f t="shared" si="1"/>
        <v>10</v>
      </c>
      <c r="F142" s="18"/>
      <c r="G142" s="17"/>
      <c r="H142" s="17"/>
      <c r="I142" s="17"/>
      <c r="J142" s="17"/>
      <c r="K142" s="18"/>
      <c r="L142" s="17"/>
      <c r="M142" s="124"/>
      <c r="N142" s="17"/>
      <c r="O142" s="1"/>
      <c r="P142" s="3"/>
      <c r="Q142" s="4"/>
      <c r="R142" s="2"/>
      <c r="S142" s="1"/>
      <c r="T142" s="3"/>
      <c r="W142" s="1"/>
      <c r="X142" s="3"/>
      <c r="AE142" s="1"/>
    </row>
    <row r="143" spans="2:31" ht="24" customHeight="1" hidden="1">
      <c r="B143" s="224"/>
      <c r="C143" s="43"/>
      <c r="D143" s="44"/>
      <c r="E143" s="225"/>
      <c r="F143" s="43"/>
      <c r="G143" s="44"/>
      <c r="H143" s="44"/>
      <c r="I143" s="44"/>
      <c r="J143" s="44"/>
      <c r="K143" s="44"/>
      <c r="L143" s="44"/>
      <c r="M143" s="117"/>
      <c r="N143" s="17"/>
      <c r="O143" s="1"/>
      <c r="P143" s="3"/>
      <c r="Q143" s="4"/>
      <c r="R143" s="2"/>
      <c r="S143" s="1"/>
      <c r="T143" s="3"/>
      <c r="W143" s="1"/>
      <c r="X143" s="3"/>
      <c r="AE143" s="1"/>
    </row>
    <row r="144" spans="14:31" ht="24" customHeight="1" hidden="1">
      <c r="N144" s="17"/>
      <c r="O144" s="1"/>
      <c r="P144" s="3"/>
      <c r="Q144" s="4"/>
      <c r="R144" s="2"/>
      <c r="S144" s="1"/>
      <c r="T144" s="3"/>
      <c r="W144" s="1"/>
      <c r="X144" s="3"/>
      <c r="AE144" s="1"/>
    </row>
    <row r="145" spans="14:31" ht="24" customHeight="1">
      <c r="N145" s="17"/>
      <c r="O145" s="1"/>
      <c r="P145" s="3"/>
      <c r="Q145" s="4"/>
      <c r="R145" s="2"/>
      <c r="S145" s="1"/>
      <c r="T145" s="3"/>
      <c r="W145" s="1"/>
      <c r="X145" s="3"/>
      <c r="AE145" s="1"/>
    </row>
    <row r="146" spans="13:31" ht="16.5">
      <c r="M146" s="17"/>
      <c r="N146" s="17"/>
      <c r="O146" s="1"/>
      <c r="P146" s="3"/>
      <c r="Q146" s="4"/>
      <c r="R146" s="2"/>
      <c r="S146" s="1"/>
      <c r="T146" s="3"/>
      <c r="W146" s="1"/>
      <c r="X146" s="3"/>
      <c r="AE146" s="1"/>
    </row>
    <row r="147" spans="13:35" ht="16.5">
      <c r="M147" s="17"/>
      <c r="R147" s="1"/>
      <c r="S147" s="3"/>
      <c r="AE147" s="1"/>
      <c r="AI147" s="17"/>
    </row>
    <row r="148" spans="18:35" ht="16.5">
      <c r="R148" s="1"/>
      <c r="S148" s="3"/>
      <c r="AE148" s="1"/>
      <c r="AI148" s="79"/>
    </row>
    <row r="149" spans="1:35" ht="16.5">
      <c r="A149" s="188"/>
      <c r="R149" s="1"/>
      <c r="S149" s="3"/>
      <c r="AE149" s="1"/>
      <c r="AI149" s="79"/>
    </row>
    <row r="150" spans="18:35" ht="16.5">
      <c r="R150" s="1"/>
      <c r="S150" s="3"/>
      <c r="AE150" s="1"/>
      <c r="AI150" s="79"/>
    </row>
    <row r="151" spans="18:35" ht="16.5">
      <c r="R151" s="1"/>
      <c r="S151" s="3"/>
      <c r="AE151" s="1"/>
      <c r="AI151" s="17"/>
    </row>
    <row r="152" spans="18:31" ht="16.5">
      <c r="R152" s="1"/>
      <c r="S152" s="3"/>
      <c r="AE152" s="1"/>
    </row>
    <row r="153" spans="18:31" ht="16.5">
      <c r="R153" s="1"/>
      <c r="S153" s="3"/>
      <c r="AE153" s="1"/>
    </row>
    <row r="154" spans="18:31" ht="16.5">
      <c r="R154" s="1"/>
      <c r="S154" s="3"/>
      <c r="AE154" s="1"/>
    </row>
    <row r="155" spans="18:31" ht="16.5">
      <c r="R155" s="1"/>
      <c r="S155" s="3"/>
      <c r="AE155" s="1"/>
    </row>
    <row r="156" spans="18:31" ht="16.5">
      <c r="R156" s="1"/>
      <c r="S156" s="3"/>
      <c r="AE156" s="1"/>
    </row>
    <row r="157" spans="18:31" ht="16.5">
      <c r="R157" s="1"/>
      <c r="S157" s="3"/>
      <c r="AE157" s="1"/>
    </row>
    <row r="158" spans="18:31" ht="16.5">
      <c r="R158" s="1"/>
      <c r="S158" s="3"/>
      <c r="AE158" s="1"/>
    </row>
    <row r="159" spans="18:31" ht="16.5">
      <c r="R159" s="1"/>
      <c r="S159" s="3"/>
      <c r="AE159" s="1"/>
    </row>
    <row r="160" spans="18:31" ht="16.5">
      <c r="R160" s="1"/>
      <c r="S160" s="3"/>
      <c r="AE160" s="1"/>
    </row>
    <row r="161" spans="18:31" ht="16.5">
      <c r="R161" s="1"/>
      <c r="S161" s="3"/>
      <c r="AE161" s="1"/>
    </row>
    <row r="162" spans="18:31" ht="16.5">
      <c r="R162" s="1"/>
      <c r="S162" s="3"/>
      <c r="AE162" s="1"/>
    </row>
    <row r="163" spans="18:31" ht="16.5">
      <c r="R163" s="1"/>
      <c r="S163" s="3"/>
      <c r="AE163" s="1"/>
    </row>
    <row r="164" spans="18:31" ht="16.5">
      <c r="R164" s="1"/>
      <c r="S164" s="3"/>
      <c r="AE164" s="1"/>
    </row>
    <row r="165" spans="18:31" ht="16.5">
      <c r="R165" s="1"/>
      <c r="S165" s="3"/>
      <c r="AE165" s="1"/>
    </row>
    <row r="166" spans="18:31" ht="16.5">
      <c r="R166" s="1"/>
      <c r="S166" s="3"/>
      <c r="AE166" s="1"/>
    </row>
    <row r="167" spans="18:31" ht="16.5">
      <c r="R167" s="1"/>
      <c r="S167" s="3"/>
      <c r="AE167" s="1"/>
    </row>
    <row r="168" spans="18:31" ht="16.5">
      <c r="R168" s="1"/>
      <c r="S168" s="3"/>
      <c r="AE168" s="1"/>
    </row>
    <row r="169" spans="18:31" ht="16.5">
      <c r="R169" s="1"/>
      <c r="S169" s="3"/>
      <c r="AE169" s="1"/>
    </row>
    <row r="170" spans="18:31" ht="16.5">
      <c r="R170" s="1"/>
      <c r="S170" s="3"/>
      <c r="AE170" s="1"/>
    </row>
    <row r="171" spans="18:31" ht="16.5">
      <c r="R171" s="1"/>
      <c r="S171" s="3"/>
      <c r="AE171" s="1"/>
    </row>
    <row r="172" spans="18:31" ht="16.5">
      <c r="R172" s="1"/>
      <c r="S172" s="3"/>
      <c r="AE172" s="1"/>
    </row>
    <row r="173" spans="18:31" ht="16.5">
      <c r="R173" s="1"/>
      <c r="S173" s="3"/>
      <c r="AE173" s="1"/>
    </row>
    <row r="174" spans="18:31" ht="16.5">
      <c r="R174" s="1"/>
      <c r="S174" s="3"/>
      <c r="AE174" s="1"/>
    </row>
    <row r="175" spans="18:31" ht="16.5">
      <c r="R175" s="1"/>
      <c r="S175" s="3"/>
      <c r="AE175" s="1"/>
    </row>
    <row r="176" spans="18:31" ht="16.5">
      <c r="R176" s="1"/>
      <c r="S176" s="3"/>
      <c r="AE176" s="1"/>
    </row>
    <row r="177" spans="18:31" ht="16.5">
      <c r="R177" s="1"/>
      <c r="S177" s="3"/>
      <c r="AE177" s="1"/>
    </row>
    <row r="178" spans="18:31" ht="16.5">
      <c r="R178" s="1"/>
      <c r="S178" s="3"/>
      <c r="AE178" s="1"/>
    </row>
    <row r="179" spans="18:31" ht="16.5">
      <c r="R179" s="1"/>
      <c r="S179" s="3"/>
      <c r="AE179" s="1"/>
    </row>
    <row r="180" spans="18:31" ht="16.5">
      <c r="R180" s="1"/>
      <c r="S180" s="3"/>
      <c r="AE180" s="1"/>
    </row>
    <row r="181" spans="18:31" ht="16.5">
      <c r="R181" s="1"/>
      <c r="S181" s="3"/>
      <c r="AE181" s="1"/>
    </row>
    <row r="182" spans="18:31" ht="16.5">
      <c r="R182" s="1"/>
      <c r="S182" s="3"/>
      <c r="AE182" s="1"/>
    </row>
    <row r="183" spans="18:31" ht="16.5">
      <c r="R183" s="1"/>
      <c r="S183" s="3"/>
      <c r="AE183" s="1"/>
    </row>
    <row r="184" spans="18:31" ht="16.5">
      <c r="R184" s="1"/>
      <c r="S184" s="3"/>
      <c r="AE184" s="1"/>
    </row>
    <row r="185" spans="18:31" ht="16.5">
      <c r="R185" s="1"/>
      <c r="S185" s="3"/>
      <c r="AE185" s="1"/>
    </row>
    <row r="186" spans="18:31" ht="16.5">
      <c r="R186" s="1"/>
      <c r="S186" s="3"/>
      <c r="AE186" s="1"/>
    </row>
    <row r="187" spans="18:31" ht="16.5">
      <c r="R187" s="1"/>
      <c r="S187" s="3"/>
      <c r="AE187" s="1"/>
    </row>
    <row r="188" spans="18:31" ht="16.5">
      <c r="R188" s="1"/>
      <c r="S188" s="3"/>
      <c r="AE188" s="1"/>
    </row>
    <row r="189" spans="18:31" ht="16.5">
      <c r="R189" s="1"/>
      <c r="S189" s="3"/>
      <c r="AE189" s="1"/>
    </row>
    <row r="190" spans="18:31" ht="16.5">
      <c r="R190" s="1"/>
      <c r="S190" s="3"/>
      <c r="AE190" s="1"/>
    </row>
    <row r="191" spans="18:31" ht="16.5">
      <c r="R191" s="1"/>
      <c r="S191" s="3"/>
      <c r="AE191" s="1"/>
    </row>
    <row r="192" spans="18:31" ht="16.5">
      <c r="R192" s="1"/>
      <c r="S192" s="3"/>
      <c r="AE192" s="1"/>
    </row>
    <row r="193" spans="18:31" ht="16.5">
      <c r="R193" s="1"/>
      <c r="S193" s="3"/>
      <c r="AE193" s="1"/>
    </row>
    <row r="194" spans="18:31" ht="16.5">
      <c r="R194" s="1"/>
      <c r="S194" s="3"/>
      <c r="AE194" s="1"/>
    </row>
    <row r="195" spans="18:31" ht="16.5">
      <c r="R195" s="1"/>
      <c r="S195" s="3"/>
      <c r="AE195" s="1"/>
    </row>
    <row r="196" spans="18:31" ht="16.5">
      <c r="R196" s="1"/>
      <c r="S196" s="3"/>
      <c r="AE196" s="1"/>
    </row>
    <row r="197" spans="18:31" ht="16.5">
      <c r="R197" s="1"/>
      <c r="S197" s="3"/>
      <c r="AE197" s="1"/>
    </row>
    <row r="198" spans="18:31" ht="16.5">
      <c r="R198" s="1"/>
      <c r="S198" s="3"/>
      <c r="AE198" s="1"/>
    </row>
    <row r="199" spans="18:31" ht="16.5">
      <c r="R199" s="1"/>
      <c r="S199" s="3"/>
      <c r="AE199" s="1"/>
    </row>
    <row r="200" spans="18:31" ht="16.5">
      <c r="R200" s="1"/>
      <c r="S200" s="3"/>
      <c r="AE200" s="1"/>
    </row>
    <row r="201" spans="18:31" ht="16.5">
      <c r="R201" s="1"/>
      <c r="S201" s="3"/>
      <c r="AE201" s="1"/>
    </row>
    <row r="202" spans="18:31" ht="16.5">
      <c r="R202" s="1"/>
      <c r="S202" s="3"/>
      <c r="AE202" s="1"/>
    </row>
    <row r="203" spans="18:31" ht="16.5">
      <c r="R203" s="1"/>
      <c r="S203" s="3"/>
      <c r="AE203" s="1"/>
    </row>
    <row r="204" spans="18:31" ht="16.5">
      <c r="R204" s="1"/>
      <c r="S204" s="3"/>
      <c r="AE204" s="1"/>
    </row>
    <row r="205" spans="18:31" ht="16.5">
      <c r="R205" s="1"/>
      <c r="S205" s="3"/>
      <c r="AE205" s="1"/>
    </row>
    <row r="206" spans="18:31" ht="16.5">
      <c r="R206" s="1"/>
      <c r="S206" s="3"/>
      <c r="AE206" s="1"/>
    </row>
    <row r="207" spans="18:31" ht="16.5">
      <c r="R207" s="1"/>
      <c r="S207" s="3"/>
      <c r="AE207" s="1"/>
    </row>
    <row r="208" spans="18:31" ht="16.5">
      <c r="R208" s="1"/>
      <c r="S208" s="3"/>
      <c r="AE208" s="1"/>
    </row>
    <row r="209" spans="18:31" ht="16.5">
      <c r="R209" s="1"/>
      <c r="S209" s="3"/>
      <c r="AE209" s="1"/>
    </row>
    <row r="210" spans="18:31" ht="16.5">
      <c r="R210" s="1"/>
      <c r="S210" s="3"/>
      <c r="AE210" s="1"/>
    </row>
    <row r="211" spans="18:31" ht="16.5">
      <c r="R211" s="1"/>
      <c r="S211" s="3"/>
      <c r="AE211" s="1"/>
    </row>
    <row r="212" spans="18:31" ht="16.5">
      <c r="R212" s="1"/>
      <c r="S212" s="3"/>
      <c r="AE212" s="1"/>
    </row>
    <row r="213" spans="18:31" ht="16.5">
      <c r="R213" s="1"/>
      <c r="S213" s="3"/>
      <c r="AE213" s="1"/>
    </row>
    <row r="214" spans="18:31" ht="16.5">
      <c r="R214" s="1"/>
      <c r="S214" s="3"/>
      <c r="AE214" s="1"/>
    </row>
    <row r="215" spans="18:31" ht="16.5">
      <c r="R215" s="1"/>
      <c r="S215" s="3"/>
      <c r="AE215" s="1"/>
    </row>
    <row r="216" spans="18:31" ht="16.5">
      <c r="R216" s="1"/>
      <c r="S216" s="3"/>
      <c r="AE216" s="1"/>
    </row>
    <row r="217" spans="18:31" ht="16.5">
      <c r="R217" s="1"/>
      <c r="S217" s="3"/>
      <c r="AE217" s="1"/>
    </row>
    <row r="218" spans="18:31" ht="16.5">
      <c r="R218" s="1"/>
      <c r="S218" s="3"/>
      <c r="AE218" s="1"/>
    </row>
    <row r="219" spans="18:31" ht="16.5">
      <c r="R219" s="1"/>
      <c r="S219" s="3"/>
      <c r="AE219" s="1"/>
    </row>
    <row r="220" spans="18:31" ht="16.5">
      <c r="R220" s="1"/>
      <c r="S220" s="3"/>
      <c r="AE220" s="1"/>
    </row>
    <row r="221" spans="18:31" ht="16.5">
      <c r="R221" s="1"/>
      <c r="S221" s="3"/>
      <c r="AE221" s="1"/>
    </row>
    <row r="222" spans="18:31" ht="16.5">
      <c r="R222" s="1"/>
      <c r="S222" s="3"/>
      <c r="AE222" s="1"/>
    </row>
    <row r="223" spans="18:31" ht="16.5">
      <c r="R223" s="1"/>
      <c r="S223" s="3"/>
      <c r="AE223" s="1"/>
    </row>
    <row r="224" spans="18:31" ht="16.5">
      <c r="R224" s="1"/>
      <c r="S224" s="3"/>
      <c r="AE224" s="1"/>
    </row>
    <row r="225" spans="18:31" ht="16.5">
      <c r="R225" s="1"/>
      <c r="S225" s="3"/>
      <c r="AE225" s="1"/>
    </row>
    <row r="226" spans="18:31" ht="16.5">
      <c r="R226" s="1"/>
      <c r="S226" s="3"/>
      <c r="AE226" s="1"/>
    </row>
    <row r="227" spans="18:31" ht="16.5">
      <c r="R227" s="1"/>
      <c r="S227" s="3"/>
      <c r="AE227" s="1"/>
    </row>
    <row r="228" spans="18:31" ht="16.5">
      <c r="R228" s="1"/>
      <c r="S228" s="3"/>
      <c r="W228" s="6"/>
      <c r="AE228" s="1"/>
    </row>
    <row r="229" spans="18:31" ht="16.5">
      <c r="R229" s="1"/>
      <c r="S229" s="3"/>
      <c r="W229" s="6"/>
      <c r="AE229" s="1"/>
    </row>
    <row r="230" spans="18:31" ht="16.5">
      <c r="R230" s="1"/>
      <c r="S230" s="3"/>
      <c r="W230" s="6"/>
      <c r="AE230" s="1"/>
    </row>
    <row r="231" spans="18:31" ht="16.5">
      <c r="R231" s="1"/>
      <c r="S231" s="3"/>
      <c r="W231" s="6"/>
      <c r="AE231" s="1"/>
    </row>
    <row r="232" spans="18:31" ht="16.5">
      <c r="R232" s="1"/>
      <c r="S232" s="3"/>
      <c r="W232" s="6"/>
      <c r="AE232" s="1"/>
    </row>
    <row r="233" spans="18:31" ht="16.5">
      <c r="R233" s="1"/>
      <c r="S233" s="3"/>
      <c r="W233" s="6"/>
      <c r="AE233" s="1"/>
    </row>
    <row r="234" spans="18:31" ht="16.5">
      <c r="R234" s="1"/>
      <c r="S234" s="3"/>
      <c r="W234" s="6"/>
      <c r="AE234" s="1"/>
    </row>
    <row r="235" spans="18:31" ht="16.5">
      <c r="R235" s="1"/>
      <c r="S235" s="3"/>
      <c r="W235" s="6"/>
      <c r="AE235" s="1"/>
    </row>
    <row r="236" spans="18:31" ht="16.5">
      <c r="R236" s="1"/>
      <c r="S236" s="3"/>
      <c r="W236" s="6"/>
      <c r="AE236" s="1"/>
    </row>
    <row r="237" spans="18:31" ht="16.5">
      <c r="R237" s="1"/>
      <c r="S237" s="3"/>
      <c r="W237" s="6"/>
      <c r="AE237" s="1"/>
    </row>
    <row r="238" spans="18:31" ht="16.5">
      <c r="R238" s="1"/>
      <c r="S238" s="3"/>
      <c r="W238" s="6"/>
      <c r="AE238" s="1"/>
    </row>
    <row r="239" spans="18:31" ht="16.5">
      <c r="R239" s="1"/>
      <c r="S239" s="3"/>
      <c r="W239" s="6"/>
      <c r="AE239" s="1"/>
    </row>
    <row r="240" spans="16:31" ht="16.5">
      <c r="P240" s="27"/>
      <c r="Q240" s="18"/>
      <c r="R240" s="1"/>
      <c r="S240" s="3"/>
      <c r="W240" s="6"/>
      <c r="AE240" s="1"/>
    </row>
    <row r="241" spans="16:31" ht="16.5">
      <c r="P241" s="27"/>
      <c r="Q241" s="18"/>
      <c r="R241" s="1"/>
      <c r="S241" s="3"/>
      <c r="W241" s="6"/>
      <c r="AE241" s="1"/>
    </row>
    <row r="242" spans="16:31" ht="16.5">
      <c r="P242" s="27"/>
      <c r="Q242" s="18"/>
      <c r="R242" s="1"/>
      <c r="S242" s="3"/>
      <c r="W242" s="6"/>
      <c r="AE242" s="1"/>
    </row>
    <row r="243" spans="16:31" ht="16.5">
      <c r="P243" s="27"/>
      <c r="Q243" s="18"/>
      <c r="R243" s="1"/>
      <c r="S243" s="3"/>
      <c r="W243" s="6"/>
      <c r="AE243" s="1"/>
    </row>
    <row r="244" spans="16:31" ht="16.5">
      <c r="P244" s="27"/>
      <c r="Q244" s="18"/>
      <c r="R244" s="1"/>
      <c r="S244" s="3"/>
      <c r="W244" s="6"/>
      <c r="AE244" s="1"/>
    </row>
    <row r="245" spans="16:31" ht="16.5">
      <c r="P245" s="27"/>
      <c r="Q245" s="18"/>
      <c r="R245" s="1"/>
      <c r="S245" s="3"/>
      <c r="W245" s="6"/>
      <c r="AE245" s="1"/>
    </row>
    <row r="246" spans="16:31" ht="16.5">
      <c r="P246" s="27"/>
      <c r="Q246" s="18"/>
      <c r="R246" s="1"/>
      <c r="S246" s="3"/>
      <c r="W246" s="6"/>
      <c r="AE246" s="1"/>
    </row>
    <row r="247" spans="16:31" ht="16.5">
      <c r="P247" s="27"/>
      <c r="Q247" s="18"/>
      <c r="R247" s="1"/>
      <c r="S247" s="3"/>
      <c r="W247" s="6"/>
      <c r="AE247" s="1"/>
    </row>
    <row r="248" spans="16:31" ht="16.5">
      <c r="P248" s="27"/>
      <c r="Q248" s="18"/>
      <c r="R248" s="1"/>
      <c r="S248" s="3"/>
      <c r="W248" s="6"/>
      <c r="AE248" s="1"/>
    </row>
    <row r="249" spans="16:31" ht="16.5">
      <c r="P249" s="27"/>
      <c r="Q249" s="18"/>
      <c r="R249" s="1"/>
      <c r="S249" s="3"/>
      <c r="W249" s="6"/>
      <c r="AE249" s="1"/>
    </row>
    <row r="250" spans="16:31" ht="16.5">
      <c r="P250" s="27"/>
      <c r="Q250" s="18"/>
      <c r="R250" s="1"/>
      <c r="S250" s="3"/>
      <c r="W250" s="6"/>
      <c r="AE250" s="1"/>
    </row>
    <row r="251" spans="16:31" ht="16.5">
      <c r="P251" s="27"/>
      <c r="Q251" s="18"/>
      <c r="R251" s="1"/>
      <c r="S251" s="3"/>
      <c r="W251" s="6"/>
      <c r="AE251" s="1"/>
    </row>
    <row r="252" spans="16:31" ht="16.5">
      <c r="P252" s="27"/>
      <c r="Q252" s="18"/>
      <c r="R252" s="1"/>
      <c r="S252" s="3"/>
      <c r="W252" s="6"/>
      <c r="AE252" s="1"/>
    </row>
    <row r="253" spans="16:31" ht="16.5">
      <c r="P253" s="27"/>
      <c r="Q253" s="18"/>
      <c r="R253" s="1"/>
      <c r="S253" s="3"/>
      <c r="W253" s="6"/>
      <c r="AE253" s="1"/>
    </row>
    <row r="254" spans="16:31" ht="16.5">
      <c r="P254" s="27"/>
      <c r="Q254" s="18"/>
      <c r="R254" s="1"/>
      <c r="S254" s="3"/>
      <c r="W254" s="6"/>
      <c r="AE254" s="1"/>
    </row>
    <row r="255" spans="16:31" ht="16.5">
      <c r="P255" s="27"/>
      <c r="Q255" s="18"/>
      <c r="R255" s="1"/>
      <c r="S255" s="3"/>
      <c r="W255" s="6"/>
      <c r="AE255" s="1"/>
    </row>
    <row r="256" spans="16:31" ht="16.5">
      <c r="P256" s="27"/>
      <c r="Q256" s="18"/>
      <c r="R256" s="1"/>
      <c r="S256" s="3"/>
      <c r="W256" s="6"/>
      <c r="AE256" s="1"/>
    </row>
    <row r="257" spans="16:31" ht="16.5">
      <c r="P257" s="27"/>
      <c r="Q257" s="18"/>
      <c r="R257" s="1"/>
      <c r="S257" s="3"/>
      <c r="W257" s="6"/>
      <c r="AE257" s="1"/>
    </row>
    <row r="258" spans="16:31" ht="16.5">
      <c r="P258" s="27"/>
      <c r="Q258" s="18"/>
      <c r="R258" s="1"/>
      <c r="S258" s="3"/>
      <c r="W258" s="6"/>
      <c r="AE258" s="1"/>
    </row>
    <row r="259" spans="16:31" ht="16.5">
      <c r="P259" s="27"/>
      <c r="Q259" s="18"/>
      <c r="R259" s="1"/>
      <c r="S259" s="3"/>
      <c r="W259" s="6"/>
      <c r="AE259" s="1"/>
    </row>
    <row r="260" spans="16:31" ht="16.5">
      <c r="P260" s="27"/>
      <c r="Q260" s="18"/>
      <c r="R260" s="1"/>
      <c r="S260" s="3"/>
      <c r="W260" s="6"/>
      <c r="AE260" s="1"/>
    </row>
    <row r="261" spans="16:31" ht="16.5">
      <c r="P261" s="27"/>
      <c r="Q261" s="18"/>
      <c r="R261" s="1"/>
      <c r="S261" s="3"/>
      <c r="W261" s="6"/>
      <c r="AE261" s="1"/>
    </row>
    <row r="262" spans="16:31" ht="16.5">
      <c r="P262" s="27"/>
      <c r="Q262" s="18"/>
      <c r="R262" s="1"/>
      <c r="S262" s="3"/>
      <c r="W262" s="6"/>
      <c r="AE262" s="1"/>
    </row>
    <row r="263" spans="16:31" ht="16.5">
      <c r="P263" s="27"/>
      <c r="Q263" s="18"/>
      <c r="R263" s="1"/>
      <c r="S263" s="3"/>
      <c r="W263" s="6"/>
      <c r="AE263" s="1"/>
    </row>
    <row r="264" spans="16:31" ht="16.5">
      <c r="P264" s="27"/>
      <c r="Q264" s="18"/>
      <c r="R264" s="1"/>
      <c r="S264" s="3"/>
      <c r="W264" s="6"/>
      <c r="AE264" s="1"/>
    </row>
    <row r="265" spans="16:31" ht="16.5">
      <c r="P265" s="27"/>
      <c r="Q265" s="18"/>
      <c r="R265" s="1"/>
      <c r="S265" s="3"/>
      <c r="W265" s="6"/>
      <c r="AE265" s="1"/>
    </row>
    <row r="266" spans="16:31" ht="16.5">
      <c r="P266" s="27"/>
      <c r="Q266" s="18"/>
      <c r="R266" s="1"/>
      <c r="S266" s="3"/>
      <c r="W266" s="6"/>
      <c r="AE266" s="1"/>
    </row>
    <row r="267" spans="16:31" ht="16.5">
      <c r="P267" s="27"/>
      <c r="Q267" s="18"/>
      <c r="R267" s="1"/>
      <c r="S267" s="3"/>
      <c r="W267" s="6"/>
      <c r="AE267" s="1"/>
    </row>
    <row r="268" spans="16:31" ht="16.5">
      <c r="P268" s="27"/>
      <c r="Q268" s="18"/>
      <c r="R268" s="1"/>
      <c r="S268" s="3"/>
      <c r="W268" s="6"/>
      <c r="AE268" s="1"/>
    </row>
    <row r="269" spans="16:31" ht="16.5">
      <c r="P269" s="27"/>
      <c r="Q269" s="18"/>
      <c r="R269" s="1"/>
      <c r="S269" s="3"/>
      <c r="W269" s="6"/>
      <c r="AE269" s="1"/>
    </row>
    <row r="270" spans="16:31" ht="16.5">
      <c r="P270" s="27"/>
      <c r="Q270" s="18"/>
      <c r="R270" s="1"/>
      <c r="S270" s="3"/>
      <c r="W270" s="6"/>
      <c r="AE270" s="1"/>
    </row>
    <row r="271" spans="16:31" ht="16.5">
      <c r="P271" s="27"/>
      <c r="Q271" s="18"/>
      <c r="R271" s="1"/>
      <c r="S271" s="3"/>
      <c r="W271" s="6"/>
      <c r="AE271" s="1"/>
    </row>
    <row r="272" spans="16:31" ht="16.5">
      <c r="P272" s="27"/>
      <c r="Q272" s="18"/>
      <c r="R272" s="1"/>
      <c r="S272" s="3"/>
      <c r="W272" s="6"/>
      <c r="AE272" s="1"/>
    </row>
    <row r="273" spans="16:31" ht="16.5">
      <c r="P273" s="27"/>
      <c r="Q273" s="18"/>
      <c r="R273" s="1"/>
      <c r="S273" s="3"/>
      <c r="W273" s="6"/>
      <c r="AE273" s="1"/>
    </row>
    <row r="274" spans="16:31" ht="16.5">
      <c r="P274" s="27"/>
      <c r="Q274" s="18"/>
      <c r="R274" s="1"/>
      <c r="S274" s="3"/>
      <c r="W274" s="6"/>
      <c r="AE274" s="1"/>
    </row>
    <row r="275" spans="16:31" ht="16.5">
      <c r="P275" s="27"/>
      <c r="Q275" s="18"/>
      <c r="R275" s="1"/>
      <c r="S275" s="3"/>
      <c r="W275" s="6"/>
      <c r="AE275" s="1"/>
    </row>
    <row r="276" spans="16:31" ht="16.5">
      <c r="P276" s="27"/>
      <c r="Q276" s="18"/>
      <c r="R276" s="1"/>
      <c r="S276" s="3"/>
      <c r="W276" s="6"/>
      <c r="AE276" s="1"/>
    </row>
    <row r="277" spans="16:31" ht="16.5">
      <c r="P277" s="27"/>
      <c r="Q277" s="18"/>
      <c r="R277" s="1"/>
      <c r="S277" s="3"/>
      <c r="W277" s="6"/>
      <c r="AE277" s="1"/>
    </row>
    <row r="278" spans="16:31" ht="16.5">
      <c r="P278" s="27"/>
      <c r="Q278" s="18"/>
      <c r="R278" s="1"/>
      <c r="S278" s="3"/>
      <c r="W278" s="6"/>
      <c r="AE278" s="1"/>
    </row>
    <row r="279" spans="16:31" ht="16.5">
      <c r="P279" s="27"/>
      <c r="Q279" s="18"/>
      <c r="R279" s="1"/>
      <c r="S279" s="3"/>
      <c r="W279" s="6"/>
      <c r="AE279" s="1"/>
    </row>
    <row r="280" spans="16:31" ht="16.5">
      <c r="P280" s="27"/>
      <c r="Q280" s="18"/>
      <c r="R280" s="1"/>
      <c r="S280" s="3"/>
      <c r="W280" s="6"/>
      <c r="AE280" s="1"/>
    </row>
    <row r="281" spans="16:31" ht="16.5">
      <c r="P281" s="27"/>
      <c r="Q281" s="18"/>
      <c r="R281" s="1"/>
      <c r="S281" s="3"/>
      <c r="W281" s="6"/>
      <c r="AE281" s="1"/>
    </row>
    <row r="282" spans="16:31" ht="16.5">
      <c r="P282" s="27"/>
      <c r="Q282" s="18"/>
      <c r="R282" s="1"/>
      <c r="S282" s="3"/>
      <c r="W282" s="6"/>
      <c r="AE282" s="1"/>
    </row>
    <row r="283" spans="16:31" ht="16.5">
      <c r="P283" s="27"/>
      <c r="Q283" s="18"/>
      <c r="R283" s="1"/>
      <c r="S283" s="3"/>
      <c r="W283" s="6"/>
      <c r="AE283" s="1"/>
    </row>
    <row r="284" spans="16:31" ht="16.5">
      <c r="P284" s="27"/>
      <c r="Q284" s="18"/>
      <c r="R284" s="1"/>
      <c r="S284" s="3"/>
      <c r="W284" s="6"/>
      <c r="AE284" s="1"/>
    </row>
    <row r="285" spans="16:31" ht="16.5">
      <c r="P285" s="27"/>
      <c r="Q285" s="18"/>
      <c r="R285" s="1"/>
      <c r="S285" s="156"/>
      <c r="T285" s="17"/>
      <c r="U285" s="17"/>
      <c r="W285" s="6"/>
      <c r="AE285" s="1"/>
    </row>
    <row r="286" spans="16:31" ht="16.5">
      <c r="P286" s="27"/>
      <c r="Q286" s="18"/>
      <c r="R286" s="1"/>
      <c r="S286" s="156"/>
      <c r="T286" s="17"/>
      <c r="U286" s="17"/>
      <c r="W286" s="6"/>
      <c r="AE286" s="1"/>
    </row>
    <row r="287" spans="16:31" ht="16.5">
      <c r="P287" s="27"/>
      <c r="Q287" s="18"/>
      <c r="R287" s="1"/>
      <c r="S287" s="156"/>
      <c r="T287" s="17"/>
      <c r="U287" s="17"/>
      <c r="W287" s="6"/>
      <c r="AE287" s="1"/>
    </row>
    <row r="288" spans="16:31" ht="16.5">
      <c r="P288" s="27"/>
      <c r="Q288" s="18"/>
      <c r="R288" s="1"/>
      <c r="S288" s="156"/>
      <c r="T288" s="17"/>
      <c r="U288" s="17"/>
      <c r="W288" s="6"/>
      <c r="AE288" s="1"/>
    </row>
    <row r="289" spans="16:31" ht="16.5">
      <c r="P289" s="27"/>
      <c r="Q289" s="18"/>
      <c r="R289" s="1"/>
      <c r="S289" s="156"/>
      <c r="T289" s="17"/>
      <c r="U289" s="17"/>
      <c r="W289" s="6"/>
      <c r="AE289" s="1"/>
    </row>
    <row r="290" spans="16:31" ht="16.5">
      <c r="P290" s="27"/>
      <c r="Q290" s="18"/>
      <c r="R290" s="1"/>
      <c r="S290" s="156"/>
      <c r="T290" s="17"/>
      <c r="U290" s="17"/>
      <c r="W290" s="6"/>
      <c r="AE290" s="1"/>
    </row>
    <row r="291" spans="16:31" ht="16.5">
      <c r="P291" s="27"/>
      <c r="Q291" s="18"/>
      <c r="R291" s="1"/>
      <c r="S291" s="156"/>
      <c r="T291" s="17"/>
      <c r="U291" s="17"/>
      <c r="W291" s="6"/>
      <c r="AE291" s="1"/>
    </row>
    <row r="292" spans="16:31" ht="16.5">
      <c r="P292" s="27"/>
      <c r="Q292" s="18"/>
      <c r="R292" s="1"/>
      <c r="S292" s="156"/>
      <c r="T292" s="79"/>
      <c r="U292" s="55"/>
      <c r="W292" s="6"/>
      <c r="AE292" s="1"/>
    </row>
    <row r="293" spans="16:31" ht="16.5">
      <c r="P293" s="27"/>
      <c r="Q293" s="18"/>
      <c r="R293" s="1"/>
      <c r="S293" s="156"/>
      <c r="T293" s="79"/>
      <c r="U293" s="55"/>
      <c r="W293" s="6"/>
      <c r="AE293" s="1"/>
    </row>
    <row r="294" spans="16:31" ht="16.5">
      <c r="P294" s="27"/>
      <c r="Q294" s="18"/>
      <c r="R294" s="1"/>
      <c r="S294" s="156"/>
      <c r="T294" s="79"/>
      <c r="U294" s="79"/>
      <c r="W294" s="6"/>
      <c r="AE294" s="1"/>
    </row>
    <row r="295" spans="16:31" ht="16.5">
      <c r="P295" s="27"/>
      <c r="Q295" s="18"/>
      <c r="R295" s="1"/>
      <c r="S295" s="156"/>
      <c r="T295" s="79"/>
      <c r="U295" s="79"/>
      <c r="W295" s="6"/>
      <c r="AE295" s="1"/>
    </row>
    <row r="296" spans="16:31" ht="16.5">
      <c r="P296" s="27"/>
      <c r="Q296" s="18"/>
      <c r="R296" s="1"/>
      <c r="S296" s="156"/>
      <c r="T296" s="79"/>
      <c r="U296" s="79"/>
      <c r="W296" s="6"/>
      <c r="AE296" s="1"/>
    </row>
    <row r="297" spans="16:31" ht="16.5">
      <c r="P297" s="27"/>
      <c r="Q297" s="18"/>
      <c r="R297" s="1"/>
      <c r="S297" s="156"/>
      <c r="T297" s="79"/>
      <c r="U297" s="79"/>
      <c r="W297" s="6"/>
      <c r="AE297" s="1"/>
    </row>
    <row r="298" spans="16:31" ht="16.5">
      <c r="P298" s="27"/>
      <c r="Q298" s="18"/>
      <c r="R298" s="1"/>
      <c r="S298" s="156"/>
      <c r="T298" s="79"/>
      <c r="U298" s="79"/>
      <c r="W298" s="6"/>
      <c r="AE298" s="1"/>
    </row>
    <row r="299" spans="16:31" ht="16.5">
      <c r="P299" s="27"/>
      <c r="Q299" s="18"/>
      <c r="R299" s="1"/>
      <c r="S299" s="156"/>
      <c r="T299" s="79"/>
      <c r="U299" s="79"/>
      <c r="W299" s="6"/>
      <c r="AE299" s="1"/>
    </row>
    <row r="300" spans="16:31" ht="16.5">
      <c r="P300" s="27"/>
      <c r="Q300" s="18"/>
      <c r="R300" s="1"/>
      <c r="S300" s="156"/>
      <c r="T300" s="79"/>
      <c r="U300" s="79"/>
      <c r="W300" s="6"/>
      <c r="AE300" s="1"/>
    </row>
    <row r="301" spans="16:31" ht="16.5">
      <c r="P301" s="27"/>
      <c r="Q301" s="18"/>
      <c r="R301" s="1"/>
      <c r="S301" s="156"/>
      <c r="T301" s="79"/>
      <c r="U301" s="79"/>
      <c r="W301" s="199"/>
      <c r="X301" s="17"/>
      <c r="Y301" s="17"/>
      <c r="AE301" s="1"/>
    </row>
    <row r="302" spans="16:31" ht="16.5">
      <c r="P302" s="27"/>
      <c r="Q302" s="18"/>
      <c r="R302" s="1"/>
      <c r="S302" s="156"/>
      <c r="T302" s="79"/>
      <c r="U302" s="79"/>
      <c r="W302" s="199"/>
      <c r="X302" s="17"/>
      <c r="Y302" s="17"/>
      <c r="AE302" s="1"/>
    </row>
    <row r="303" spans="16:31" ht="16.5">
      <c r="P303" s="27"/>
      <c r="Q303" s="18"/>
      <c r="R303" s="1"/>
      <c r="S303" s="156"/>
      <c r="T303" s="79"/>
      <c r="U303" s="79"/>
      <c r="W303" s="199"/>
      <c r="X303" s="17"/>
      <c r="Y303" s="17"/>
      <c r="AE303" s="1"/>
    </row>
    <row r="304" spans="16:31" ht="16.5">
      <c r="P304" s="27"/>
      <c r="Q304" s="18"/>
      <c r="R304" s="1"/>
      <c r="S304" s="156"/>
      <c r="T304" s="79"/>
      <c r="U304" s="79"/>
      <c r="W304" s="199"/>
      <c r="X304" s="17"/>
      <c r="Y304" s="17"/>
      <c r="AE304" s="1"/>
    </row>
    <row r="305" spans="16:31" ht="16.5">
      <c r="P305" s="27"/>
      <c r="Q305" s="18"/>
      <c r="R305" s="1"/>
      <c r="S305" s="156"/>
      <c r="T305" s="79"/>
      <c r="U305" s="67"/>
      <c r="W305" s="199"/>
      <c r="X305" s="17"/>
      <c r="Y305" s="17"/>
      <c r="AE305" s="1"/>
    </row>
    <row r="306" spans="16:31" ht="16.5">
      <c r="P306" s="27"/>
      <c r="Q306" s="18"/>
      <c r="R306" s="1"/>
      <c r="S306" s="156"/>
      <c r="T306" s="79"/>
      <c r="U306" s="67"/>
      <c r="W306" s="199"/>
      <c r="X306" s="17"/>
      <c r="Y306" s="17"/>
      <c r="AE306" s="1"/>
    </row>
    <row r="307" spans="16:31" ht="16.5">
      <c r="P307" s="27"/>
      <c r="Q307" s="18"/>
      <c r="R307" s="1"/>
      <c r="S307" s="156"/>
      <c r="T307" s="79"/>
      <c r="U307" s="79"/>
      <c r="W307" s="199"/>
      <c r="X307" s="17"/>
      <c r="Y307" s="17"/>
      <c r="AE307" s="1"/>
    </row>
    <row r="308" spans="16:31" ht="16.5">
      <c r="P308" s="27"/>
      <c r="Q308" s="18"/>
      <c r="R308" s="1"/>
      <c r="S308" s="156"/>
      <c r="T308" s="79"/>
      <c r="U308" s="55"/>
      <c r="W308" s="199"/>
      <c r="X308" s="79"/>
      <c r="Y308" s="79"/>
      <c r="AE308" s="1"/>
    </row>
    <row r="309" spans="16:31" ht="16.5">
      <c r="P309" s="27"/>
      <c r="Q309" s="18"/>
      <c r="R309" s="1"/>
      <c r="S309" s="156"/>
      <c r="T309" s="79"/>
      <c r="U309" s="79"/>
      <c r="W309" s="199"/>
      <c r="X309" s="79"/>
      <c r="Y309" s="79"/>
      <c r="AE309" s="1"/>
    </row>
    <row r="310" spans="16:31" ht="16.5">
      <c r="P310" s="27"/>
      <c r="Q310" s="18"/>
      <c r="R310" s="1"/>
      <c r="S310" s="156"/>
      <c r="T310" s="79"/>
      <c r="U310" s="79"/>
      <c r="W310" s="199"/>
      <c r="X310" s="79"/>
      <c r="Y310" s="79"/>
      <c r="AE310" s="1"/>
    </row>
    <row r="311" spans="16:31" ht="16.5">
      <c r="P311" s="27"/>
      <c r="Q311" s="18"/>
      <c r="R311" s="1"/>
      <c r="S311" s="156"/>
      <c r="T311" s="79"/>
      <c r="U311" s="79"/>
      <c r="W311" s="199"/>
      <c r="X311" s="79"/>
      <c r="Y311" s="79"/>
      <c r="AE311" s="1"/>
    </row>
    <row r="312" spans="16:31" ht="16.5">
      <c r="P312" s="27"/>
      <c r="Q312" s="18"/>
      <c r="R312" s="1"/>
      <c r="S312" s="233"/>
      <c r="T312" s="79"/>
      <c r="U312" s="79"/>
      <c r="W312" s="199"/>
      <c r="X312" s="79"/>
      <c r="Y312" s="79"/>
      <c r="AE312" s="1"/>
    </row>
    <row r="313" spans="16:31" ht="16.5">
      <c r="P313" s="27"/>
      <c r="Q313" s="18"/>
      <c r="R313" s="1"/>
      <c r="S313" s="233"/>
      <c r="T313" s="79"/>
      <c r="U313" s="79"/>
      <c r="W313" s="199"/>
      <c r="X313" s="79"/>
      <c r="Y313" s="79"/>
      <c r="AE313" s="1"/>
    </row>
    <row r="314" spans="16:31" ht="16.5">
      <c r="P314" s="27"/>
      <c r="Q314" s="18"/>
      <c r="R314" s="1"/>
      <c r="S314" s="199"/>
      <c r="T314" s="17"/>
      <c r="U314" s="17"/>
      <c r="W314" s="199"/>
      <c r="X314" s="79"/>
      <c r="Y314" s="79"/>
      <c r="AE314" s="1"/>
    </row>
    <row r="315" spans="16:31" ht="16.5">
      <c r="P315" s="27"/>
      <c r="Q315" s="18"/>
      <c r="R315" s="1"/>
      <c r="S315" s="199"/>
      <c r="T315" s="17"/>
      <c r="U315" s="17"/>
      <c r="W315" s="199"/>
      <c r="X315" s="79"/>
      <c r="Y315" s="79"/>
      <c r="AE315" s="1"/>
    </row>
    <row r="316" spans="16:31" ht="16.5">
      <c r="P316" s="27"/>
      <c r="Q316" s="18"/>
      <c r="R316" s="1"/>
      <c r="S316" s="199"/>
      <c r="T316" s="17"/>
      <c r="U316" s="17"/>
      <c r="W316" s="199"/>
      <c r="X316" s="79"/>
      <c r="Y316" s="79"/>
      <c r="AE316" s="1"/>
    </row>
    <row r="317" spans="16:31" ht="16.5">
      <c r="P317" s="27"/>
      <c r="Q317" s="18"/>
      <c r="R317" s="1"/>
      <c r="S317" s="199"/>
      <c r="T317" s="17"/>
      <c r="U317" s="17"/>
      <c r="V317" s="17"/>
      <c r="W317" s="199"/>
      <c r="X317" s="79"/>
      <c r="Y317" s="79"/>
      <c r="AE317" s="1"/>
    </row>
    <row r="318" spans="16:49" ht="16.5">
      <c r="P318" s="27"/>
      <c r="Q318" s="18"/>
      <c r="R318" s="1"/>
      <c r="S318" s="199"/>
      <c r="T318" s="17"/>
      <c r="U318" s="17"/>
      <c r="V318" s="17"/>
      <c r="W318" s="199"/>
      <c r="X318" s="79"/>
      <c r="Y318" s="79"/>
      <c r="Z318" s="17"/>
      <c r="AA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</row>
    <row r="319" spans="16:49" ht="16.5">
      <c r="P319" s="27"/>
      <c r="Q319" s="18"/>
      <c r="R319" s="1"/>
      <c r="S319" s="199"/>
      <c r="T319" s="17"/>
      <c r="U319" s="17"/>
      <c r="V319" s="17"/>
      <c r="W319" s="199"/>
      <c r="X319" s="79"/>
      <c r="Y319" s="79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</row>
    <row r="320" spans="16:49" ht="16.5">
      <c r="P320" s="27"/>
      <c r="Q320" s="18"/>
      <c r="R320" s="1"/>
      <c r="S320" s="199"/>
      <c r="T320" s="17"/>
      <c r="U320" s="17"/>
      <c r="V320" s="17"/>
      <c r="W320" s="199"/>
      <c r="X320" s="79"/>
      <c r="Y320" s="79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</row>
    <row r="321" spans="16:49" ht="16.5">
      <c r="P321" s="27"/>
      <c r="Q321" s="18"/>
      <c r="R321" s="1"/>
      <c r="S321" s="199"/>
      <c r="T321" s="17"/>
      <c r="U321" s="17"/>
      <c r="V321" s="17"/>
      <c r="W321" s="199"/>
      <c r="X321" s="79"/>
      <c r="Y321" s="79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</row>
    <row r="322" spans="16:49" ht="16.5">
      <c r="P322" s="27"/>
      <c r="Q322" s="18"/>
      <c r="R322" s="193"/>
      <c r="S322" s="199"/>
      <c r="T322" s="17"/>
      <c r="U322" s="17"/>
      <c r="V322" s="17"/>
      <c r="W322" s="199"/>
      <c r="X322" s="79"/>
      <c r="Y322" s="79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</row>
    <row r="323" spans="16:49" ht="16.5">
      <c r="P323" s="27"/>
      <c r="Q323" s="18"/>
      <c r="R323" s="193"/>
      <c r="S323" s="199"/>
      <c r="T323" s="17"/>
      <c r="U323" s="17"/>
      <c r="V323" s="17"/>
      <c r="W323" s="199"/>
      <c r="X323" s="79"/>
      <c r="Y323" s="79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</row>
    <row r="324" spans="16:49" ht="16.5">
      <c r="P324" s="27"/>
      <c r="Q324" s="18"/>
      <c r="R324" s="193"/>
      <c r="S324" s="199"/>
      <c r="T324" s="17"/>
      <c r="U324" s="17"/>
      <c r="V324" s="79"/>
      <c r="W324" s="199"/>
      <c r="X324" s="79"/>
      <c r="Y324" s="79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</row>
    <row r="325" spans="16:49" ht="16.5">
      <c r="P325" s="27"/>
      <c r="Q325" s="18"/>
      <c r="R325" s="193"/>
      <c r="S325" s="199"/>
      <c r="T325" s="17"/>
      <c r="U325" s="17"/>
      <c r="V325" s="79"/>
      <c r="W325" s="199"/>
      <c r="X325" s="79"/>
      <c r="Y325" s="79"/>
      <c r="Z325" s="79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</row>
    <row r="326" spans="16:49" ht="16.5">
      <c r="P326" s="27"/>
      <c r="Q326" s="18"/>
      <c r="R326" s="193"/>
      <c r="S326" s="199"/>
      <c r="T326" s="17"/>
      <c r="U326" s="17"/>
      <c r="V326" s="79"/>
      <c r="W326" s="199"/>
      <c r="X326" s="79"/>
      <c r="Y326" s="79"/>
      <c r="Z326" s="79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</row>
    <row r="327" spans="16:49" ht="16.5">
      <c r="P327" s="27"/>
      <c r="Q327" s="18"/>
      <c r="R327" s="193"/>
      <c r="S327" s="199"/>
      <c r="T327" s="17"/>
      <c r="U327" s="17"/>
      <c r="V327" s="79"/>
      <c r="W327" s="199"/>
      <c r="X327" s="79"/>
      <c r="Y327" s="79"/>
      <c r="Z327" s="79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</row>
    <row r="328" spans="16:49" ht="16.5">
      <c r="P328" s="27"/>
      <c r="Q328" s="18"/>
      <c r="R328" s="193"/>
      <c r="S328" s="199"/>
      <c r="T328" s="17"/>
      <c r="U328" s="17"/>
      <c r="V328" s="79"/>
      <c r="W328" s="199"/>
      <c r="X328" s="79"/>
      <c r="Y328" s="79"/>
      <c r="Z328" s="79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</row>
    <row r="329" spans="16:49" ht="16.5">
      <c r="P329" s="27"/>
      <c r="Q329" s="18"/>
      <c r="R329" s="193"/>
      <c r="S329" s="199"/>
      <c r="T329" s="17"/>
      <c r="U329" s="17"/>
      <c r="V329" s="79"/>
      <c r="W329" s="199"/>
      <c r="X329" s="79"/>
      <c r="Y329" s="79"/>
      <c r="Z329" s="79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</row>
    <row r="330" spans="16:49" ht="16.5">
      <c r="P330" s="27"/>
      <c r="Q330" s="18"/>
      <c r="R330" s="193"/>
      <c r="S330" s="199"/>
      <c r="T330" s="17"/>
      <c r="U330" s="17"/>
      <c r="V330" s="79"/>
      <c r="W330" s="156"/>
      <c r="X330" s="17"/>
      <c r="Y330" s="79"/>
      <c r="Z330" s="79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</row>
    <row r="331" spans="16:49" ht="16.5">
      <c r="P331" s="27"/>
      <c r="Q331" s="18"/>
      <c r="R331" s="193"/>
      <c r="S331" s="199"/>
      <c r="T331" s="17"/>
      <c r="U331" s="17"/>
      <c r="V331" s="79"/>
      <c r="W331" s="156"/>
      <c r="X331" s="17"/>
      <c r="Y331" s="79"/>
      <c r="Z331" s="79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</row>
    <row r="332" spans="16:49" ht="16.5">
      <c r="P332" s="27"/>
      <c r="Q332" s="18"/>
      <c r="R332" s="193"/>
      <c r="S332" s="199"/>
      <c r="T332" s="17"/>
      <c r="U332" s="17"/>
      <c r="V332" s="79"/>
      <c r="W332" s="156"/>
      <c r="X332" s="17"/>
      <c r="Y332" s="79"/>
      <c r="Z332" s="79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</row>
    <row r="333" spans="16:49" ht="16.5">
      <c r="P333" s="27"/>
      <c r="Q333" s="18"/>
      <c r="R333" s="193"/>
      <c r="S333" s="199"/>
      <c r="T333" s="17"/>
      <c r="U333" s="17"/>
      <c r="V333" s="79"/>
      <c r="W333" s="156"/>
      <c r="X333" s="17"/>
      <c r="Y333" s="79"/>
      <c r="Z333" s="79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</row>
    <row r="334" spans="16:49" ht="16.5">
      <c r="P334" s="27"/>
      <c r="Q334" s="18"/>
      <c r="R334" s="193"/>
      <c r="S334" s="199"/>
      <c r="T334" s="17"/>
      <c r="U334" s="17"/>
      <c r="V334" s="79"/>
      <c r="W334" s="156"/>
      <c r="X334" s="17"/>
      <c r="Y334" s="79"/>
      <c r="Z334" s="79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</row>
    <row r="335" spans="16:49" ht="16.5">
      <c r="P335" s="27"/>
      <c r="Q335" s="18"/>
      <c r="R335" s="193"/>
      <c r="S335" s="199"/>
      <c r="T335" s="17"/>
      <c r="U335" s="17"/>
      <c r="V335" s="79"/>
      <c r="W335" s="156"/>
      <c r="X335" s="17"/>
      <c r="Y335" s="79"/>
      <c r="Z335" s="79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</row>
    <row r="336" spans="4:49" ht="16.5">
      <c r="D336" s="2"/>
      <c r="P336" s="27"/>
      <c r="Q336" s="18"/>
      <c r="R336" s="193"/>
      <c r="S336" s="199"/>
      <c r="T336" s="17"/>
      <c r="U336" s="17"/>
      <c r="V336" s="79"/>
      <c r="W336" s="156"/>
      <c r="X336" s="17"/>
      <c r="Y336" s="79"/>
      <c r="Z336" s="79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</row>
    <row r="337" spans="11:49" ht="16.5">
      <c r="K337" s="2"/>
      <c r="P337" s="27"/>
      <c r="Q337" s="18"/>
      <c r="R337" s="193"/>
      <c r="S337" s="199"/>
      <c r="T337" s="17"/>
      <c r="U337" s="17"/>
      <c r="V337" s="79"/>
      <c r="W337" s="156"/>
      <c r="X337" s="17"/>
      <c r="Y337" s="79"/>
      <c r="Z337" s="79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</row>
    <row r="338" spans="16:49" ht="16.5">
      <c r="P338" s="27"/>
      <c r="Q338" s="18"/>
      <c r="R338" s="193"/>
      <c r="S338" s="199"/>
      <c r="T338" s="17"/>
      <c r="U338" s="17"/>
      <c r="V338" s="79"/>
      <c r="W338" s="156"/>
      <c r="X338" s="17"/>
      <c r="Y338" s="79"/>
      <c r="Z338" s="79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</row>
    <row r="339" spans="16:49" ht="16.5">
      <c r="P339" s="27"/>
      <c r="Q339" s="18"/>
      <c r="R339" s="193"/>
      <c r="S339" s="199"/>
      <c r="T339" s="17"/>
      <c r="U339" s="17"/>
      <c r="V339" s="79"/>
      <c r="W339" s="156"/>
      <c r="X339" s="17"/>
      <c r="Y339" s="79"/>
      <c r="Z339" s="79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</row>
    <row r="340" spans="18:49" ht="16.5">
      <c r="R340" s="193"/>
      <c r="S340" s="199"/>
      <c r="T340" s="17"/>
      <c r="U340" s="17"/>
      <c r="V340" s="79"/>
      <c r="W340" s="156"/>
      <c r="X340" s="17"/>
      <c r="Y340" s="79"/>
      <c r="Z340" s="79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</row>
    <row r="341" spans="18:49" ht="16.5">
      <c r="R341" s="193"/>
      <c r="S341" s="199"/>
      <c r="T341" s="17"/>
      <c r="U341" s="17"/>
      <c r="V341" s="79"/>
      <c r="W341" s="156"/>
      <c r="X341" s="17"/>
      <c r="Y341" s="79"/>
      <c r="Z341" s="79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</row>
    <row r="342" spans="18:49" ht="16.5">
      <c r="R342" s="193"/>
      <c r="S342" s="199"/>
      <c r="T342" s="17"/>
      <c r="U342" s="17"/>
      <c r="V342" s="79"/>
      <c r="W342" s="156"/>
      <c r="X342" s="17"/>
      <c r="Y342" s="79"/>
      <c r="Z342" s="79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</row>
    <row r="343" spans="18:49" ht="16.5">
      <c r="R343" s="193"/>
      <c r="S343" s="199"/>
      <c r="T343" s="17"/>
      <c r="U343" s="17"/>
      <c r="V343" s="79"/>
      <c r="W343" s="156"/>
      <c r="X343" s="17"/>
      <c r="Y343" s="79"/>
      <c r="Z343" s="55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</row>
    <row r="344" spans="18:49" ht="16.5">
      <c r="R344" s="193"/>
      <c r="S344" s="199"/>
      <c r="T344" s="17"/>
      <c r="U344" s="17"/>
      <c r="V344" s="79"/>
      <c r="W344" s="156"/>
      <c r="X344" s="17"/>
      <c r="Y344" s="79"/>
      <c r="Z344" s="55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</row>
    <row r="345" spans="18:49" ht="16.5">
      <c r="R345" s="193"/>
      <c r="S345" s="199"/>
      <c r="T345" s="17"/>
      <c r="U345" s="17"/>
      <c r="V345" s="79"/>
      <c r="W345" s="156"/>
      <c r="X345" s="17"/>
      <c r="Y345" s="79"/>
      <c r="Z345" s="55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</row>
    <row r="346" spans="18:49" ht="16.5">
      <c r="R346" s="193"/>
      <c r="S346" s="199"/>
      <c r="T346" s="17"/>
      <c r="U346" s="17"/>
      <c r="V346" s="17"/>
      <c r="W346" s="156"/>
      <c r="X346" s="17"/>
      <c r="Y346" s="79"/>
      <c r="Z346" s="79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</row>
    <row r="347" spans="18:58" ht="16.5">
      <c r="R347" s="193"/>
      <c r="S347" s="199"/>
      <c r="T347" s="17"/>
      <c r="U347" s="17"/>
      <c r="V347" s="17"/>
      <c r="W347" s="156"/>
      <c r="X347" s="17"/>
      <c r="Y347" s="79"/>
      <c r="Z347" s="234"/>
      <c r="AA347" s="79"/>
      <c r="AB347" s="17"/>
      <c r="AC347" s="79"/>
      <c r="AD347" s="79"/>
      <c r="AE347" s="25"/>
      <c r="AF347" s="79"/>
      <c r="AG347" s="79"/>
      <c r="AH347" s="79"/>
      <c r="AI347" s="79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</row>
    <row r="348" spans="18:58" ht="16.5">
      <c r="R348" s="193"/>
      <c r="S348" s="199"/>
      <c r="T348" s="17"/>
      <c r="U348" s="17"/>
      <c r="V348" s="17"/>
      <c r="W348" s="156"/>
      <c r="X348" s="17"/>
      <c r="Y348" s="79"/>
      <c r="Z348" s="234"/>
      <c r="AA348" s="79"/>
      <c r="AB348" s="79"/>
      <c r="AC348" s="79"/>
      <c r="AD348" s="79"/>
      <c r="AE348" s="25"/>
      <c r="AF348" s="79"/>
      <c r="AG348" s="79"/>
      <c r="AH348" s="79"/>
      <c r="AI348" s="55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</row>
    <row r="349" spans="18:58" ht="16.5">
      <c r="R349" s="193"/>
      <c r="S349" s="199"/>
      <c r="T349" s="17"/>
      <c r="U349" s="17"/>
      <c r="V349" s="17"/>
      <c r="W349" s="156"/>
      <c r="X349" s="17"/>
      <c r="Y349" s="79"/>
      <c r="Z349" s="234"/>
      <c r="AA349" s="79"/>
      <c r="AB349" s="79"/>
      <c r="AC349" s="79"/>
      <c r="AD349" s="79"/>
      <c r="AE349" s="25"/>
      <c r="AF349" s="79"/>
      <c r="AG349" s="79"/>
      <c r="AH349" s="79"/>
      <c r="AI349" s="79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</row>
    <row r="350" spans="18:58" ht="16.5">
      <c r="R350" s="193"/>
      <c r="S350" s="199"/>
      <c r="T350" s="17"/>
      <c r="U350" s="17"/>
      <c r="V350" s="17"/>
      <c r="W350" s="156"/>
      <c r="X350" s="17"/>
      <c r="Y350" s="79"/>
      <c r="Z350" s="79"/>
      <c r="AA350" s="79"/>
      <c r="AB350" s="79"/>
      <c r="AC350" s="79"/>
      <c r="AD350" s="79"/>
      <c r="AE350" s="25"/>
      <c r="AF350" s="79"/>
      <c r="AG350" s="79"/>
      <c r="AH350" s="79"/>
      <c r="AI350" s="55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</row>
    <row r="351" spans="18:58" ht="16.5">
      <c r="R351" s="193"/>
      <c r="S351" s="199"/>
      <c r="T351" s="17"/>
      <c r="U351" s="17"/>
      <c r="V351" s="17"/>
      <c r="W351" s="156"/>
      <c r="X351" s="17"/>
      <c r="Y351" s="79"/>
      <c r="Z351" s="79"/>
      <c r="AA351" s="79"/>
      <c r="AB351" s="79"/>
      <c r="AC351" s="79"/>
      <c r="AD351" s="79"/>
      <c r="AE351" s="25"/>
      <c r="AF351" s="79"/>
      <c r="AG351" s="79"/>
      <c r="AH351" s="79"/>
      <c r="AI351" s="79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</row>
    <row r="352" spans="18:58" ht="16.5">
      <c r="R352" s="193"/>
      <c r="S352" s="199"/>
      <c r="T352" s="17"/>
      <c r="U352" s="17"/>
      <c r="V352" s="17"/>
      <c r="W352" s="156"/>
      <c r="X352" s="17"/>
      <c r="Y352" s="79"/>
      <c r="Z352" s="79"/>
      <c r="AA352" s="79"/>
      <c r="AB352" s="79"/>
      <c r="AC352" s="79"/>
      <c r="AD352" s="79"/>
      <c r="AE352" s="25"/>
      <c r="AF352" s="79"/>
      <c r="AG352" s="79"/>
      <c r="AH352" s="79"/>
      <c r="AI352" s="79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</row>
    <row r="353" spans="18:58" ht="16.5">
      <c r="R353" s="193"/>
      <c r="S353" s="199"/>
      <c r="T353" s="17"/>
      <c r="U353" s="17"/>
      <c r="V353" s="17"/>
      <c r="W353" s="156"/>
      <c r="X353" s="17"/>
      <c r="Y353" s="79"/>
      <c r="Z353" s="79"/>
      <c r="AA353" s="79"/>
      <c r="AB353" s="79"/>
      <c r="AC353" s="79"/>
      <c r="AD353" s="79"/>
      <c r="AE353" s="25"/>
      <c r="AF353" s="79"/>
      <c r="AG353" s="79"/>
      <c r="AH353" s="79"/>
      <c r="AI353" s="79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</row>
    <row r="354" spans="18:58" ht="16.5">
      <c r="R354" s="193"/>
      <c r="S354" s="199"/>
      <c r="T354" s="17"/>
      <c r="U354" s="17"/>
      <c r="V354" s="17"/>
      <c r="W354" s="156"/>
      <c r="X354" s="17"/>
      <c r="Y354" s="79"/>
      <c r="Z354" s="79"/>
      <c r="AA354" s="79"/>
      <c r="AB354" s="79"/>
      <c r="AC354" s="79"/>
      <c r="AD354" s="79"/>
      <c r="AE354" s="25"/>
      <c r="AF354" s="79"/>
      <c r="AG354" s="79"/>
      <c r="AH354" s="79"/>
      <c r="AI354" s="79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</row>
    <row r="355" spans="18:58" ht="16.5">
      <c r="R355" s="193"/>
      <c r="S355" s="199"/>
      <c r="T355" s="17"/>
      <c r="U355" s="17"/>
      <c r="V355" s="17"/>
      <c r="W355" s="156"/>
      <c r="X355" s="17"/>
      <c r="Y355" s="79"/>
      <c r="Z355" s="79"/>
      <c r="AA355" s="79"/>
      <c r="AB355" s="79"/>
      <c r="AC355" s="79"/>
      <c r="AD355" s="55"/>
      <c r="AE355" s="25"/>
      <c r="AF355" s="79"/>
      <c r="AG355" s="79"/>
      <c r="AH355" s="79"/>
      <c r="AI355" s="79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</row>
    <row r="356" spans="18:58" ht="16.5">
      <c r="R356" s="193"/>
      <c r="S356" s="199"/>
      <c r="T356" s="17"/>
      <c r="U356" s="17"/>
      <c r="V356" s="17"/>
      <c r="W356" s="156"/>
      <c r="X356" s="17"/>
      <c r="Y356" s="79"/>
      <c r="Z356" s="79"/>
      <c r="AA356" s="79"/>
      <c r="AB356" s="79"/>
      <c r="AC356" s="79"/>
      <c r="AD356" s="79"/>
      <c r="AE356" s="25"/>
      <c r="AF356" s="79"/>
      <c r="AG356" s="79"/>
      <c r="AH356" s="79"/>
      <c r="AI356" s="79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</row>
    <row r="357" spans="18:58" ht="16.5">
      <c r="R357" s="193"/>
      <c r="S357" s="199"/>
      <c r="T357" s="17"/>
      <c r="U357" s="17"/>
      <c r="V357" s="17"/>
      <c r="W357" s="156"/>
      <c r="X357" s="17"/>
      <c r="Y357" s="79"/>
      <c r="Z357" s="79"/>
      <c r="AA357" s="79"/>
      <c r="AB357" s="79"/>
      <c r="AC357" s="79"/>
      <c r="AD357" s="79"/>
      <c r="AE357" s="25"/>
      <c r="AF357" s="79"/>
      <c r="AG357" s="79"/>
      <c r="AH357" s="79"/>
      <c r="AI357" s="79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</row>
    <row r="358" spans="18:58" ht="16.5">
      <c r="R358" s="193"/>
      <c r="S358" s="199"/>
      <c r="T358" s="17"/>
      <c r="U358" s="17"/>
      <c r="V358" s="17"/>
      <c r="W358" s="156"/>
      <c r="X358" s="17"/>
      <c r="Y358" s="79"/>
      <c r="Z358" s="79"/>
      <c r="AA358" s="79"/>
      <c r="AB358" s="79"/>
      <c r="AC358" s="79"/>
      <c r="AD358" s="79"/>
      <c r="AE358" s="25"/>
      <c r="AF358" s="79"/>
      <c r="AG358" s="79"/>
      <c r="AH358" s="79"/>
      <c r="AI358" s="79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</row>
    <row r="359" spans="18:58" ht="16.5">
      <c r="R359" s="193"/>
      <c r="S359" s="199"/>
      <c r="T359" s="17"/>
      <c r="U359" s="17"/>
      <c r="V359" s="17"/>
      <c r="W359" s="156"/>
      <c r="X359" s="17"/>
      <c r="Y359" s="79"/>
      <c r="Z359" s="79"/>
      <c r="AA359" s="79"/>
      <c r="AB359" s="79"/>
      <c r="AC359" s="55"/>
      <c r="AD359" s="79"/>
      <c r="AE359" s="25"/>
      <c r="AF359" s="79"/>
      <c r="AG359" s="79"/>
      <c r="AH359" s="79"/>
      <c r="AI359" s="79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</row>
    <row r="360" spans="18:58" ht="16.5">
      <c r="R360" s="193"/>
      <c r="S360" s="199"/>
      <c r="T360" s="17"/>
      <c r="U360" s="17"/>
      <c r="V360" s="17"/>
      <c r="W360" s="156"/>
      <c r="X360" s="17"/>
      <c r="Y360" s="79"/>
      <c r="Z360" s="79"/>
      <c r="AA360" s="79"/>
      <c r="AB360" s="79"/>
      <c r="AC360" s="79"/>
      <c r="AD360" s="79"/>
      <c r="AE360" s="25"/>
      <c r="AF360" s="79"/>
      <c r="AG360" s="79"/>
      <c r="AH360" s="79"/>
      <c r="AI360" s="79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</row>
    <row r="361" spans="18:58" ht="16.5">
      <c r="R361" s="193"/>
      <c r="S361" s="199"/>
      <c r="T361" s="17"/>
      <c r="U361" s="17"/>
      <c r="V361" s="17"/>
      <c r="W361" s="156"/>
      <c r="X361" s="17"/>
      <c r="Y361" s="17"/>
      <c r="Z361" s="79"/>
      <c r="AA361" s="79"/>
      <c r="AB361" s="79"/>
      <c r="AC361" s="55"/>
      <c r="AD361" s="79"/>
      <c r="AE361" s="25"/>
      <c r="AF361" s="79"/>
      <c r="AG361" s="79"/>
      <c r="AH361" s="79"/>
      <c r="AI361" s="79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</row>
    <row r="362" spans="18:58" ht="16.5">
      <c r="R362" s="193"/>
      <c r="S362" s="199"/>
      <c r="T362" s="17"/>
      <c r="U362" s="17"/>
      <c r="V362" s="17"/>
      <c r="W362" s="156"/>
      <c r="X362" s="17"/>
      <c r="Y362" s="17"/>
      <c r="Z362" s="79"/>
      <c r="AA362" s="79"/>
      <c r="AB362" s="79"/>
      <c r="AC362" s="55"/>
      <c r="AD362" s="79"/>
      <c r="AE362" s="25"/>
      <c r="AF362" s="79"/>
      <c r="AG362" s="79"/>
      <c r="AH362" s="79"/>
      <c r="AI362" s="79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</row>
    <row r="363" spans="18:58" ht="16.5">
      <c r="R363" s="193"/>
      <c r="S363" s="199"/>
      <c r="T363" s="17"/>
      <c r="U363" s="17"/>
      <c r="V363" s="17"/>
      <c r="W363" s="156"/>
      <c r="X363" s="17"/>
      <c r="Y363" s="17"/>
      <c r="Z363" s="79"/>
      <c r="AA363" s="79"/>
      <c r="AB363" s="79"/>
      <c r="AC363" s="79"/>
      <c r="AD363" s="79"/>
      <c r="AE363" s="25"/>
      <c r="AF363" s="79"/>
      <c r="AG363" s="79"/>
      <c r="AH363" s="79"/>
      <c r="AI363" s="79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</row>
    <row r="364" spans="18:58" ht="16.5">
      <c r="R364" s="193"/>
      <c r="S364" s="199"/>
      <c r="T364" s="17"/>
      <c r="U364" s="17"/>
      <c r="V364" s="17"/>
      <c r="W364" s="156"/>
      <c r="X364" s="17"/>
      <c r="Y364" s="17"/>
      <c r="Z364" s="79"/>
      <c r="AA364" s="79"/>
      <c r="AB364" s="79"/>
      <c r="AC364" s="79"/>
      <c r="AD364" s="79"/>
      <c r="AE364" s="25"/>
      <c r="AF364" s="79"/>
      <c r="AG364" s="79"/>
      <c r="AH364" s="79"/>
      <c r="AI364" s="79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</row>
    <row r="365" spans="18:58" ht="16.5">
      <c r="R365" s="193"/>
      <c r="S365" s="199"/>
      <c r="T365" s="17"/>
      <c r="U365" s="17"/>
      <c r="V365" s="17"/>
      <c r="W365" s="156"/>
      <c r="X365" s="17"/>
      <c r="Y365" s="17"/>
      <c r="Z365" s="79"/>
      <c r="AA365" s="79"/>
      <c r="AB365" s="79"/>
      <c r="AC365" s="79"/>
      <c r="AD365" s="79"/>
      <c r="AE365" s="25"/>
      <c r="AF365" s="79"/>
      <c r="AG365" s="79"/>
      <c r="AH365" s="79"/>
      <c r="AI365" s="79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</row>
    <row r="366" spans="18:58" ht="16.5">
      <c r="R366" s="193"/>
      <c r="S366" s="199"/>
      <c r="T366" s="17"/>
      <c r="U366" s="17"/>
      <c r="V366" s="17"/>
      <c r="W366" s="156"/>
      <c r="X366" s="17"/>
      <c r="Y366" s="17"/>
      <c r="Z366" s="79"/>
      <c r="AA366" s="79"/>
      <c r="AB366" s="79"/>
      <c r="AC366" s="79"/>
      <c r="AD366" s="79"/>
      <c r="AE366" s="25"/>
      <c r="AF366" s="79"/>
      <c r="AG366" s="234"/>
      <c r="AH366" s="79"/>
      <c r="AI366" s="79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</row>
    <row r="367" spans="18:58" ht="16.5">
      <c r="R367" s="193"/>
      <c r="S367" s="199"/>
      <c r="T367" s="17"/>
      <c r="U367" s="17"/>
      <c r="V367" s="17"/>
      <c r="W367" s="156"/>
      <c r="X367" s="17"/>
      <c r="Y367" s="17"/>
      <c r="Z367" s="79"/>
      <c r="AA367" s="79"/>
      <c r="AB367" s="79"/>
      <c r="AC367" s="79"/>
      <c r="AD367" s="79"/>
      <c r="AE367" s="25"/>
      <c r="AF367" s="17"/>
      <c r="AG367" s="234"/>
      <c r="AH367" s="79"/>
      <c r="AI367" s="79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</row>
    <row r="368" spans="18:58" ht="16.5">
      <c r="R368" s="193"/>
      <c r="S368" s="199"/>
      <c r="T368" s="17"/>
      <c r="U368" s="17"/>
      <c r="V368" s="17"/>
      <c r="W368" s="156"/>
      <c r="X368" s="17"/>
      <c r="Y368" s="17"/>
      <c r="Z368" s="79"/>
      <c r="AA368" s="79"/>
      <c r="AB368" s="79"/>
      <c r="AC368" s="79"/>
      <c r="AD368" s="79"/>
      <c r="AE368" s="25"/>
      <c r="AF368" s="17"/>
      <c r="AG368" s="234"/>
      <c r="AH368" s="79"/>
      <c r="AI368" s="79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</row>
    <row r="369" spans="18:58" ht="16.5">
      <c r="R369" s="193"/>
      <c r="S369" s="199"/>
      <c r="T369" s="17"/>
      <c r="U369" s="17"/>
      <c r="V369" s="17"/>
      <c r="W369" s="156"/>
      <c r="X369" s="17"/>
      <c r="Y369" s="17"/>
      <c r="Z369" s="79"/>
      <c r="AA369" s="79"/>
      <c r="AB369" s="79"/>
      <c r="AC369" s="79"/>
      <c r="AD369" s="79"/>
      <c r="AE369" s="25"/>
      <c r="AF369" s="17"/>
      <c r="AG369" s="234"/>
      <c r="AH369" s="79"/>
      <c r="AI369" s="79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</row>
    <row r="370" spans="18:58" ht="16.5">
      <c r="R370" s="193"/>
      <c r="S370" s="199"/>
      <c r="T370" s="17"/>
      <c r="U370" s="17"/>
      <c r="V370" s="17"/>
      <c r="W370" s="156"/>
      <c r="X370" s="17"/>
      <c r="Y370" s="17"/>
      <c r="Z370" s="79"/>
      <c r="AA370" s="79"/>
      <c r="AB370" s="79"/>
      <c r="AC370" s="79"/>
      <c r="AD370" s="79"/>
      <c r="AE370" s="25"/>
      <c r="AF370" s="17"/>
      <c r="AG370" s="234"/>
      <c r="AH370" s="79"/>
      <c r="AI370" s="79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</row>
    <row r="371" spans="18:58" ht="16.5">
      <c r="R371" s="193"/>
      <c r="S371" s="199"/>
      <c r="T371" s="17"/>
      <c r="U371" s="17"/>
      <c r="V371" s="17"/>
      <c r="W371" s="156"/>
      <c r="X371" s="17"/>
      <c r="Y371" s="17"/>
      <c r="Z371" s="79"/>
      <c r="AA371" s="79"/>
      <c r="AB371" s="79"/>
      <c r="AC371" s="79"/>
      <c r="AD371" s="79"/>
      <c r="AE371" s="25"/>
      <c r="AF371" s="17"/>
      <c r="AG371" s="234"/>
      <c r="AH371" s="79"/>
      <c r="AI371" s="79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</row>
    <row r="372" spans="18:58" ht="16.5">
      <c r="R372" s="193"/>
      <c r="S372" s="199"/>
      <c r="T372" s="17"/>
      <c r="U372" s="17"/>
      <c r="V372" s="17"/>
      <c r="W372" s="156"/>
      <c r="X372" s="17"/>
      <c r="Y372" s="17"/>
      <c r="Z372" s="79"/>
      <c r="AA372" s="79"/>
      <c r="AB372" s="79"/>
      <c r="AC372" s="79"/>
      <c r="AD372" s="79"/>
      <c r="AE372" s="25"/>
      <c r="AF372" s="17"/>
      <c r="AG372" s="234"/>
      <c r="AH372" s="79"/>
      <c r="AI372" s="79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</row>
    <row r="373" spans="18:58" ht="16.5">
      <c r="R373" s="193"/>
      <c r="S373" s="199"/>
      <c r="T373" s="17"/>
      <c r="U373" s="17"/>
      <c r="V373" s="17"/>
      <c r="W373" s="156"/>
      <c r="X373" s="17"/>
      <c r="Y373" s="17"/>
      <c r="Z373" s="79"/>
      <c r="AA373" s="79"/>
      <c r="AB373" s="79"/>
      <c r="AC373" s="79"/>
      <c r="AD373" s="79"/>
      <c r="AE373" s="25"/>
      <c r="AF373" s="79"/>
      <c r="AG373" s="79"/>
      <c r="AH373" s="79"/>
      <c r="AI373" s="79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</row>
    <row r="374" spans="18:58" ht="16.5">
      <c r="R374" s="193"/>
      <c r="S374" s="199"/>
      <c r="T374" s="17"/>
      <c r="U374" s="17"/>
      <c r="V374" s="17"/>
      <c r="W374" s="156"/>
      <c r="X374" s="17"/>
      <c r="Y374" s="17"/>
      <c r="Z374" s="79"/>
      <c r="AA374" s="79"/>
      <c r="AB374" s="79"/>
      <c r="AC374" s="79"/>
      <c r="AD374" s="79"/>
      <c r="AE374" s="123"/>
      <c r="AF374" s="55"/>
      <c r="AG374" s="79"/>
      <c r="AH374" s="79"/>
      <c r="AI374" s="79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</row>
    <row r="375" spans="18:58" ht="16.5">
      <c r="R375" s="193"/>
      <c r="S375" s="199"/>
      <c r="T375" s="17"/>
      <c r="U375" s="17"/>
      <c r="V375" s="17"/>
      <c r="W375" s="156"/>
      <c r="X375" s="17"/>
      <c r="Y375" s="17"/>
      <c r="Z375" s="79"/>
      <c r="AA375" s="79"/>
      <c r="AB375" s="79"/>
      <c r="AC375" s="79"/>
      <c r="AD375" s="79"/>
      <c r="AE375" s="123"/>
      <c r="AF375" s="55"/>
      <c r="AG375" s="79"/>
      <c r="AH375" s="79"/>
      <c r="AI375" s="79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</row>
    <row r="376" spans="18:58" ht="16.5">
      <c r="R376" s="193"/>
      <c r="S376" s="199"/>
      <c r="T376" s="17"/>
      <c r="U376" s="17"/>
      <c r="V376" s="17"/>
      <c r="W376" s="156"/>
      <c r="X376" s="17"/>
      <c r="Y376" s="17"/>
      <c r="Z376" s="79"/>
      <c r="AA376" s="79"/>
      <c r="AB376" s="79"/>
      <c r="AC376" s="79"/>
      <c r="AD376" s="79"/>
      <c r="AE376" s="123"/>
      <c r="AF376" s="55"/>
      <c r="AG376" s="79"/>
      <c r="AH376" s="79"/>
      <c r="AI376" s="79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</row>
    <row r="377" spans="18:58" ht="16.5">
      <c r="R377" s="193"/>
      <c r="S377" s="199"/>
      <c r="T377" s="17"/>
      <c r="U377" s="17"/>
      <c r="V377" s="17"/>
      <c r="W377" s="156"/>
      <c r="X377" s="17"/>
      <c r="Y377" s="17"/>
      <c r="Z377" s="79"/>
      <c r="AA377" s="79"/>
      <c r="AB377" s="79"/>
      <c r="AC377" s="79"/>
      <c r="AD377" s="79"/>
      <c r="AE377" s="25"/>
      <c r="AF377" s="79"/>
      <c r="AG377" s="79"/>
      <c r="AH377" s="79"/>
      <c r="AI377" s="79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</row>
    <row r="378" spans="18:58" ht="16.5">
      <c r="R378" s="193"/>
      <c r="S378" s="199"/>
      <c r="T378" s="17"/>
      <c r="U378" s="17"/>
      <c r="V378" s="17"/>
      <c r="W378" s="156"/>
      <c r="X378" s="17"/>
      <c r="Y378" s="17"/>
      <c r="Z378" s="17"/>
      <c r="AA378" s="17"/>
      <c r="AB378" s="79"/>
      <c r="AC378" s="17"/>
      <c r="AD378" s="17"/>
      <c r="AE378" s="18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</row>
    <row r="379" spans="18:58" ht="16.5">
      <c r="R379" s="193"/>
      <c r="S379" s="199"/>
      <c r="T379" s="17"/>
      <c r="U379" s="17"/>
      <c r="V379" s="17"/>
      <c r="W379" s="156"/>
      <c r="X379" s="17"/>
      <c r="Y379" s="17"/>
      <c r="Z379" s="17"/>
      <c r="AA379" s="17"/>
      <c r="AB379" s="17"/>
      <c r="AC379" s="17"/>
      <c r="AD379" s="17"/>
      <c r="AE379" s="18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</row>
    <row r="380" spans="18:58" ht="16.5">
      <c r="R380" s="193"/>
      <c r="S380" s="199"/>
      <c r="T380" s="17"/>
      <c r="U380" s="17"/>
      <c r="V380" s="17"/>
      <c r="W380" s="156"/>
      <c r="X380" s="17"/>
      <c r="Y380" s="17"/>
      <c r="Z380" s="17"/>
      <c r="AA380" s="17"/>
      <c r="AB380" s="17"/>
      <c r="AC380" s="17"/>
      <c r="AD380" s="17"/>
      <c r="AE380" s="18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</row>
    <row r="381" spans="18:58" ht="16.5">
      <c r="R381" s="193"/>
      <c r="S381" s="199"/>
      <c r="T381" s="17"/>
      <c r="U381" s="17"/>
      <c r="V381" s="17"/>
      <c r="W381" s="156"/>
      <c r="X381" s="17"/>
      <c r="Y381" s="17"/>
      <c r="Z381" s="17"/>
      <c r="AA381" s="17"/>
      <c r="AB381" s="17"/>
      <c r="AC381" s="17"/>
      <c r="AD381" s="17"/>
      <c r="AE381" s="18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</row>
    <row r="382" spans="18:58" ht="16.5">
      <c r="R382" s="193"/>
      <c r="S382" s="199"/>
      <c r="T382" s="17"/>
      <c r="U382" s="17"/>
      <c r="V382" s="17"/>
      <c r="W382" s="156"/>
      <c r="X382" s="17"/>
      <c r="Y382" s="17"/>
      <c r="Z382" s="17"/>
      <c r="AA382" s="17"/>
      <c r="AB382" s="17"/>
      <c r="AC382" s="17"/>
      <c r="AD382" s="17"/>
      <c r="AE382" s="18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</row>
    <row r="383" spans="18:58" ht="16.5">
      <c r="R383" s="193"/>
      <c r="S383" s="199"/>
      <c r="T383" s="17"/>
      <c r="U383" s="17"/>
      <c r="V383" s="17"/>
      <c r="W383" s="156"/>
      <c r="X383" s="17"/>
      <c r="Y383" s="17"/>
      <c r="Z383" s="17"/>
      <c r="AA383" s="17"/>
      <c r="AB383" s="17"/>
      <c r="AC383" s="17"/>
      <c r="AD383" s="17"/>
      <c r="AE383" s="18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</row>
    <row r="384" spans="18:58" ht="16.5">
      <c r="R384" s="193"/>
      <c r="S384" s="199"/>
      <c r="T384" s="17"/>
      <c r="U384" s="17"/>
      <c r="V384" s="17"/>
      <c r="W384" s="156"/>
      <c r="X384" s="17"/>
      <c r="Y384" s="17"/>
      <c r="Z384" s="17"/>
      <c r="AA384" s="17"/>
      <c r="AB384" s="17"/>
      <c r="AC384" s="17"/>
      <c r="AD384" s="17"/>
      <c r="AE384" s="18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</row>
    <row r="385" spans="18:58" ht="16.5">
      <c r="R385" s="193"/>
      <c r="S385" s="199"/>
      <c r="T385" s="17"/>
      <c r="U385" s="17"/>
      <c r="V385" s="17"/>
      <c r="W385" s="156"/>
      <c r="X385" s="17"/>
      <c r="Y385" s="17"/>
      <c r="Z385" s="17"/>
      <c r="AA385" s="17"/>
      <c r="AB385" s="17"/>
      <c r="AC385" s="17"/>
      <c r="AD385" s="17"/>
      <c r="AE385" s="18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</row>
    <row r="386" spans="18:58" ht="16.5">
      <c r="R386" s="193"/>
      <c r="S386" s="199"/>
      <c r="T386" s="17"/>
      <c r="U386" s="17"/>
      <c r="V386" s="17"/>
      <c r="W386" s="156"/>
      <c r="X386" s="17"/>
      <c r="Y386" s="17"/>
      <c r="Z386" s="17"/>
      <c r="AA386" s="17"/>
      <c r="AB386" s="17"/>
      <c r="AC386" s="17"/>
      <c r="AD386" s="17"/>
      <c r="AE386" s="18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</row>
    <row r="387" spans="18:58" ht="16.5">
      <c r="R387" s="193"/>
      <c r="S387" s="199"/>
      <c r="T387" s="17"/>
      <c r="U387" s="17"/>
      <c r="V387" s="17"/>
      <c r="W387" s="156"/>
      <c r="X387" s="17"/>
      <c r="Y387" s="17"/>
      <c r="Z387" s="17"/>
      <c r="AA387" s="17"/>
      <c r="AB387" s="17"/>
      <c r="AC387" s="17"/>
      <c r="AD387" s="17"/>
      <c r="AE387" s="18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</row>
    <row r="388" spans="18:58" ht="16.5">
      <c r="R388" s="193"/>
      <c r="S388" s="199"/>
      <c r="T388" s="17"/>
      <c r="U388" s="17"/>
      <c r="V388" s="17"/>
      <c r="W388" s="156"/>
      <c r="X388" s="17"/>
      <c r="Y388" s="17"/>
      <c r="Z388" s="17"/>
      <c r="AA388" s="17"/>
      <c r="AB388" s="17"/>
      <c r="AC388" s="17"/>
      <c r="AD388" s="17"/>
      <c r="AE388" s="18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</row>
    <row r="389" spans="18:58" ht="16.5">
      <c r="R389" s="193"/>
      <c r="S389" s="199"/>
      <c r="T389" s="17"/>
      <c r="U389" s="17"/>
      <c r="V389" s="17"/>
      <c r="W389" s="156"/>
      <c r="X389" s="17"/>
      <c r="Y389" s="17"/>
      <c r="Z389" s="17"/>
      <c r="AA389" s="17"/>
      <c r="AB389" s="17"/>
      <c r="AC389" s="17"/>
      <c r="AD389" s="17"/>
      <c r="AE389" s="18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</row>
    <row r="390" spans="18:58" ht="16.5">
      <c r="R390" s="193"/>
      <c r="V390" s="17"/>
      <c r="W390" s="156"/>
      <c r="X390" s="17"/>
      <c r="Y390" s="17"/>
      <c r="Z390" s="17"/>
      <c r="AA390" s="17"/>
      <c r="AB390" s="17"/>
      <c r="AC390" s="17"/>
      <c r="AD390" s="17"/>
      <c r="AE390" s="18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</row>
    <row r="391" spans="18:58" ht="16.5">
      <c r="R391" s="193"/>
      <c r="V391" s="17"/>
      <c r="W391" s="156"/>
      <c r="X391" s="17"/>
      <c r="Y391" s="17"/>
      <c r="Z391" s="17"/>
      <c r="AA391" s="17"/>
      <c r="AB391" s="17"/>
      <c r="AC391" s="17"/>
      <c r="AD391" s="17"/>
      <c r="AE391" s="18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</row>
    <row r="392" spans="18:58" ht="16.5">
      <c r="R392" s="193"/>
      <c r="V392" s="17"/>
      <c r="W392" s="156"/>
      <c r="X392" s="17"/>
      <c r="Y392" s="17"/>
      <c r="Z392" s="17"/>
      <c r="AA392" s="17"/>
      <c r="AB392" s="17"/>
      <c r="AC392" s="17"/>
      <c r="AD392" s="17"/>
      <c r="AE392" s="18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</row>
    <row r="393" spans="18:58" ht="16.5">
      <c r="R393" s="193"/>
      <c r="V393" s="17"/>
      <c r="W393" s="156"/>
      <c r="X393" s="17"/>
      <c r="Y393" s="17"/>
      <c r="Z393" s="17"/>
      <c r="AA393" s="17"/>
      <c r="AB393" s="17"/>
      <c r="AC393" s="17"/>
      <c r="AD393" s="17"/>
      <c r="AE393" s="18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</row>
    <row r="394" spans="18:58" ht="16.5">
      <c r="R394" s="193"/>
      <c r="V394" s="17"/>
      <c r="W394" s="156"/>
      <c r="X394" s="17"/>
      <c r="Y394" s="17"/>
      <c r="Z394" s="17"/>
      <c r="AA394" s="17"/>
      <c r="AB394" s="17"/>
      <c r="AC394" s="17"/>
      <c r="AD394" s="17"/>
      <c r="AE394" s="18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</row>
    <row r="395" spans="18:58" ht="16.5">
      <c r="R395" s="193"/>
      <c r="V395" s="17"/>
      <c r="W395" s="156"/>
      <c r="X395" s="17"/>
      <c r="Y395" s="17"/>
      <c r="Z395" s="17"/>
      <c r="AA395" s="17"/>
      <c r="AB395" s="17"/>
      <c r="AC395" s="17"/>
      <c r="AD395" s="17"/>
      <c r="AE395" s="18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</row>
    <row r="396" spans="18:58" ht="16.5">
      <c r="R396" s="193"/>
      <c r="V396" s="17"/>
      <c r="W396" s="156"/>
      <c r="X396" s="17"/>
      <c r="Y396" s="17"/>
      <c r="Z396" s="17"/>
      <c r="AA396" s="17"/>
      <c r="AB396" s="17"/>
      <c r="AC396" s="17"/>
      <c r="AD396" s="17"/>
      <c r="AE396" s="18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</row>
    <row r="397" spans="18:58" ht="16.5">
      <c r="R397" s="193"/>
      <c r="V397" s="17"/>
      <c r="W397" s="156"/>
      <c r="X397" s="17"/>
      <c r="Y397" s="17"/>
      <c r="Z397" s="17"/>
      <c r="AA397" s="17"/>
      <c r="AB397" s="17"/>
      <c r="AC397" s="17"/>
      <c r="AD397" s="17"/>
      <c r="AE397" s="18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</row>
    <row r="398" spans="18:58" ht="16.5">
      <c r="R398" s="193"/>
      <c r="V398" s="17"/>
      <c r="W398" s="156"/>
      <c r="X398" s="17"/>
      <c r="Y398" s="17"/>
      <c r="Z398" s="17"/>
      <c r="AA398" s="17"/>
      <c r="AB398" s="17"/>
      <c r="AC398" s="17"/>
      <c r="AD398" s="17"/>
      <c r="AE398" s="18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</row>
    <row r="399" spans="18:58" ht="16.5">
      <c r="R399" s="193"/>
      <c r="V399" s="17"/>
      <c r="W399" s="156"/>
      <c r="X399" s="17"/>
      <c r="Y399" s="17"/>
      <c r="Z399" s="17"/>
      <c r="AA399" s="17"/>
      <c r="AB399" s="17"/>
      <c r="AC399" s="17"/>
      <c r="AD399" s="17"/>
      <c r="AE399" s="18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</row>
    <row r="400" spans="18:58" ht="16.5">
      <c r="R400" s="193"/>
      <c r="V400" s="17"/>
      <c r="W400" s="156"/>
      <c r="X400" s="17"/>
      <c r="Y400" s="17"/>
      <c r="Z400" s="17"/>
      <c r="AA400" s="17"/>
      <c r="AB400" s="17"/>
      <c r="AC400" s="17"/>
      <c r="AD400" s="17"/>
      <c r="AE400" s="18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</row>
    <row r="401" spans="18:58" ht="16.5">
      <c r="R401" s="193"/>
      <c r="V401" s="17"/>
      <c r="W401" s="156"/>
      <c r="X401" s="17"/>
      <c r="Y401" s="17"/>
      <c r="Z401" s="17"/>
      <c r="AA401" s="17"/>
      <c r="AB401" s="17"/>
      <c r="AC401" s="17"/>
      <c r="AD401" s="17"/>
      <c r="AE401" s="18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</row>
    <row r="402" spans="18:58" ht="16.5">
      <c r="R402" s="193"/>
      <c r="V402" s="17"/>
      <c r="W402" s="156"/>
      <c r="X402" s="17"/>
      <c r="Y402" s="17"/>
      <c r="Z402" s="17"/>
      <c r="AA402" s="17"/>
      <c r="AB402" s="17"/>
      <c r="AC402" s="17"/>
      <c r="AD402" s="17"/>
      <c r="AE402" s="18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</row>
    <row r="403" spans="18:58" ht="16.5">
      <c r="R403" s="193"/>
      <c r="V403" s="17"/>
      <c r="W403" s="156"/>
      <c r="X403" s="17"/>
      <c r="Y403" s="17"/>
      <c r="Z403" s="17"/>
      <c r="AA403" s="17"/>
      <c r="AB403" s="17"/>
      <c r="AC403" s="17"/>
      <c r="AD403" s="17"/>
      <c r="AE403" s="18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</row>
    <row r="404" spans="18:58" ht="16.5">
      <c r="R404" s="193"/>
      <c r="V404" s="17"/>
      <c r="W404" s="156"/>
      <c r="X404" s="17"/>
      <c r="Y404" s="17"/>
      <c r="Z404" s="17"/>
      <c r="AA404" s="17"/>
      <c r="AB404" s="17"/>
      <c r="AC404" s="17"/>
      <c r="AD404" s="17"/>
      <c r="AE404" s="18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</row>
    <row r="405" spans="18:58" ht="16.5">
      <c r="R405" s="193"/>
      <c r="V405" s="17"/>
      <c r="W405" s="156"/>
      <c r="X405" s="17"/>
      <c r="Y405" s="17"/>
      <c r="Z405" s="17"/>
      <c r="AA405" s="17"/>
      <c r="AB405" s="17"/>
      <c r="AC405" s="17"/>
      <c r="AD405" s="17"/>
      <c r="AE405" s="18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</row>
    <row r="406" spans="18:58" ht="16.5">
      <c r="R406" s="193"/>
      <c r="V406" s="17"/>
      <c r="Z406" s="17"/>
      <c r="AA406" s="17"/>
      <c r="AB406" s="17"/>
      <c r="AC406" s="17"/>
      <c r="AD406" s="17"/>
      <c r="AE406" s="18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</row>
    <row r="407" spans="18:58" ht="16.5">
      <c r="R407" s="193"/>
      <c r="V407" s="17"/>
      <c r="Z407" s="17"/>
      <c r="AA407" s="17"/>
      <c r="AB407" s="17"/>
      <c r="AC407" s="17"/>
      <c r="AD407" s="17"/>
      <c r="AE407" s="18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</row>
    <row r="408" spans="18:58" ht="16.5">
      <c r="R408" s="193"/>
      <c r="V408" s="17"/>
      <c r="Z408" s="17"/>
      <c r="AA408" s="17"/>
      <c r="AB408" s="17"/>
      <c r="AC408" s="17"/>
      <c r="AD408" s="17"/>
      <c r="AE408" s="18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</row>
    <row r="409" spans="18:58" ht="16.5">
      <c r="R409" s="193"/>
      <c r="V409" s="17"/>
      <c r="Z409" s="17"/>
      <c r="AA409" s="17"/>
      <c r="AB409" s="17"/>
      <c r="AC409" s="17"/>
      <c r="AD409" s="17"/>
      <c r="AE409" s="18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</row>
    <row r="410" spans="18:58" ht="16.5">
      <c r="R410" s="193"/>
      <c r="V410" s="17"/>
      <c r="Z410" s="17"/>
      <c r="AA410" s="17"/>
      <c r="AB410" s="17"/>
      <c r="AC410" s="17"/>
      <c r="AD410" s="17"/>
      <c r="AE410" s="18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</row>
    <row r="411" spans="18:58" ht="16.5">
      <c r="R411" s="193"/>
      <c r="V411" s="17"/>
      <c r="Z411" s="17"/>
      <c r="AA411" s="17"/>
      <c r="AB411" s="17"/>
      <c r="AC411" s="17"/>
      <c r="AD411" s="17"/>
      <c r="AE411" s="18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</row>
    <row r="412" spans="18:58" ht="16.5">
      <c r="R412" s="193"/>
      <c r="V412" s="17"/>
      <c r="Z412" s="17"/>
      <c r="AA412" s="17"/>
      <c r="AB412" s="17"/>
      <c r="AC412" s="17"/>
      <c r="AD412" s="17"/>
      <c r="AE412" s="18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</row>
    <row r="413" spans="18:58" ht="16.5">
      <c r="R413" s="193"/>
      <c r="V413" s="17"/>
      <c r="Z413" s="17"/>
      <c r="AA413" s="17"/>
      <c r="AB413" s="17"/>
      <c r="AC413" s="17"/>
      <c r="AD413" s="17"/>
      <c r="AE413" s="18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</row>
    <row r="414" spans="18:58" ht="16.5">
      <c r="R414" s="193"/>
      <c r="V414" s="17"/>
      <c r="Z414" s="17"/>
      <c r="AA414" s="17"/>
      <c r="AB414" s="17"/>
      <c r="AC414" s="17"/>
      <c r="AD414" s="17"/>
      <c r="AE414" s="18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</row>
    <row r="415" spans="18:58" ht="16.5">
      <c r="R415" s="193"/>
      <c r="V415" s="17"/>
      <c r="Z415" s="17"/>
      <c r="AA415" s="17"/>
      <c r="AB415" s="17"/>
      <c r="AC415" s="17"/>
      <c r="AD415" s="17"/>
      <c r="AE415" s="18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</row>
    <row r="416" spans="18:58" ht="16.5">
      <c r="R416" s="193"/>
      <c r="V416" s="17"/>
      <c r="Z416" s="17"/>
      <c r="AA416" s="17"/>
      <c r="AB416" s="17"/>
      <c r="AC416" s="17"/>
      <c r="AD416" s="17"/>
      <c r="AE416" s="18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</row>
    <row r="417" spans="18:58" ht="16.5">
      <c r="R417" s="193"/>
      <c r="V417" s="17"/>
      <c r="Z417" s="17"/>
      <c r="AA417" s="17"/>
      <c r="AB417" s="17"/>
      <c r="AC417" s="17"/>
      <c r="AD417" s="17"/>
      <c r="AE417" s="18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</row>
    <row r="418" spans="18:58" ht="16.5">
      <c r="R418" s="193"/>
      <c r="V418" s="17"/>
      <c r="Z418" s="17"/>
      <c r="AA418" s="17"/>
      <c r="AB418" s="17"/>
      <c r="AC418" s="17"/>
      <c r="AD418" s="17"/>
      <c r="AE418" s="18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</row>
    <row r="419" spans="18:58" ht="16.5">
      <c r="R419" s="193"/>
      <c r="V419" s="17"/>
      <c r="Z419" s="17"/>
      <c r="AA419" s="17"/>
      <c r="AB419" s="17"/>
      <c r="AC419" s="17"/>
      <c r="AD419" s="17"/>
      <c r="AE419" s="18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</row>
    <row r="420" spans="18:58" ht="16.5">
      <c r="R420" s="193"/>
      <c r="V420" s="17"/>
      <c r="Z420" s="17"/>
      <c r="AA420" s="17"/>
      <c r="AB420" s="17"/>
      <c r="AC420" s="17"/>
      <c r="AD420" s="17"/>
      <c r="AE420" s="18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</row>
    <row r="421" spans="18:58" ht="16.5">
      <c r="R421" s="193"/>
      <c r="V421" s="17"/>
      <c r="Z421" s="17"/>
      <c r="AA421" s="17"/>
      <c r="AB421" s="17"/>
      <c r="AC421" s="17"/>
      <c r="AD421" s="17"/>
      <c r="AE421" s="18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</row>
    <row r="422" spans="26:58" ht="16.5">
      <c r="Z422" s="17"/>
      <c r="AA422" s="17"/>
      <c r="AB422" s="17"/>
      <c r="AC422" s="17"/>
      <c r="AD422" s="17"/>
      <c r="AE422" s="18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</row>
    <row r="423" ht="16.5">
      <c r="AB423" s="17"/>
    </row>
  </sheetData>
  <sheetProtection/>
  <mergeCells count="15">
    <mergeCell ref="B1:D1"/>
    <mergeCell ref="E1:L1"/>
    <mergeCell ref="G8:J8"/>
    <mergeCell ref="L8:M8"/>
    <mergeCell ref="G9:J9"/>
    <mergeCell ref="L9:M9"/>
    <mergeCell ref="L10:M10"/>
    <mergeCell ref="L11:M11"/>
    <mergeCell ref="G12:J12"/>
    <mergeCell ref="L13:M13"/>
    <mergeCell ref="C15:C20"/>
    <mergeCell ref="AA16:AC18"/>
    <mergeCell ref="D15:L20"/>
    <mergeCell ref="A24:M25"/>
    <mergeCell ref="A26:M27"/>
  </mergeCells>
  <dataValidations count="8">
    <dataValidation type="custom" allowBlank="1" showInputMessage="1" showErrorMessage="1" errorTitle="不支持的水平分辨率。" error="1. 水平分辨率必须小于7680点，且需保证水平点数为4的倍数。&#10;2. 极限最高：1080X7680@60Hz。" sqref="C2">
      <formula1>AND(MOD(C2,4)=0,C2&lt;=7680)</formula1>
      <formula2>7680</formula2>
    </dataValidation>
    <dataValidation type="decimal" allowBlank="1" showInputMessage="1" showErrorMessage="1" errorTitle="不支持的垂直分辨率。" error="垂直分辨率必须小于等于7680行。" sqref="C3">
      <formula1>64</formula1>
      <formula2>7680</formula2>
    </dataValidation>
    <dataValidation type="whole" operator="greaterThan" showInputMessage="1" showErrorMessage="1" promptTitle="Note:" prompt="Value will be rounded to the nearest integer number of character cells." errorTitle="Invalid Number!" error="Horizontal Pixel value should be a whole number." sqref="K8">
      <formula1>0</formula1>
    </dataValidation>
    <dataValidation type="whole" allowBlank="1" showInputMessage="1" showErrorMessage="1" sqref="C4">
      <formula1>24</formula1>
      <formula2>120</formula2>
    </dataValidation>
    <dataValidation type="whole" operator="greaterThan" allowBlank="1" showInputMessage="1" showErrorMessage="1" promptTitle="Note:" prompt="Vertical Pixel value will be rounded to nearest integer." errorTitle="Invalid Number!" error="Vertical Pixel value should be a whole number." sqref="K9">
      <formula1>0</formula1>
    </dataValidation>
    <dataValidation type="custom" allowBlank="1" showInputMessage="1" showErrorMessage="1" errorTitle="Invalid Entry!" error="Please enter Y or N (Yes/No)." sqref="K11 K13">
      <formula1>OR(K11="Y",K11="N")</formula1>
    </dataValidation>
    <dataValidation type="custom" showInputMessage="1" showErrorMessage="1" errorTitle="Invalid Entry!" error="Please enter Y or N (Yes/No)." sqref="K10">
      <formula1>OR(K10="Y",K10="N")</formula1>
    </dataValidation>
    <dataValidation type="decimal" operator="greaterThan" allowBlank="1" showInputMessage="1" showErrorMessage="1" promptTitle="Vertical Frame Rate:" prompt="CVT Standard Frame Rates are:&#10;    50Hz&#10;    60Hz&#10;    75Hz&#10;    85Hz" errorTitle="Invalid Number!" error="Frame Rate value must be a number." sqref="K12">
      <formula1>0</formula1>
    </dataValidation>
  </dataValidations>
  <printOptions horizontalCentered="1" verticalCentered="1"/>
  <pageMargins left="0.5" right="0.5" top="0.56" bottom="0.56" header="0.5" footer="0.5"/>
  <pageSetup fitToHeight="1" fitToWidth="1" horizontalDpi="300" verticalDpi="300" orientation="portrait" scale="40"/>
  <headerFooter scaleWithDoc="0" alignWithMargins="0">
    <oddFooter>&amp;L&amp;"Times New Roman,Regular"&amp;14VESA Coordinated Video Timing Generator
(c) Copyright 2002 Video Electronics Standards Association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Timing Generator</dc:title>
  <dc:subject>CVT Timing</dc:subject>
  <dc:creator>Graham Loveridge</dc:creator>
  <cp:keywords>CVT Timing Generator</cp:keywords>
  <dc:description/>
  <cp:lastModifiedBy>丁丁</cp:lastModifiedBy>
  <cp:lastPrinted>2003-03-03T23:34:15Z</cp:lastPrinted>
  <dcterms:created xsi:type="dcterms:W3CDTF">2002-01-07T17:37:55Z</dcterms:created>
  <dcterms:modified xsi:type="dcterms:W3CDTF">2019-09-25T10:38:08Z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